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RI_Mechanics" sheetId="3" state="visible" r:id="rId3"/>
    <sheet xmlns:r="http://schemas.openxmlformats.org/officeDocument/2006/relationships" name="Free_Float" sheetId="4" state="visible" r:id="rId4"/>
    <sheet xmlns:r="http://schemas.openxmlformats.org/officeDocument/2006/relationships" name="Capital" sheetId="5" state="visible" r:id="rId5"/>
    <sheet xmlns:r="http://schemas.openxmlformats.org/officeDocument/2006/relationships" name="Projections" sheetId="6" state="visible" r:id="rId6"/>
    <sheet xmlns:r="http://schemas.openxmlformats.org/officeDocument/2006/relationships" name="Valuation" sheetId="7" state="visible" r:id="rId7"/>
    <sheet xmlns:r="http://schemas.openxmlformats.org/officeDocument/2006/relationships" name="Precedent_2022" sheetId="8" state="visible" r:id="rId8"/>
    <sheet xmlns:r="http://schemas.openxmlformats.org/officeDocument/2006/relationships" name="Prices" sheetId="9" state="visible" r:id="rId9"/>
    <sheet xmlns:r="http://schemas.openxmlformats.org/officeDocument/2006/relationships" name="Sources" sheetId="10" state="visible" r:id="rId10"/>
  </sheets>
  <definedNames>
    <definedName name="px_last">Inputs!$B$6</definedName>
    <definedName name="px_prev">Inputs!$B$7</definedName>
    <definedName name="vol_last">Inputs!$B$8</definedName>
    <definedName name="vol_20d">Inputs!$B$9</definedName>
    <definedName name="adtv_20d">Inputs!$B$10</definedName>
    <definedName name="px_hi52">Inputs!$B$11</definedName>
    <definedName name="sh_out">Inputs!$B$12</definedName>
    <definedName name="par">Inputs!$B$13</definedName>
    <definedName name="ri_max">Inputs!$B$16</definedName>
    <definedName name="ri_dil_disc">Inputs!$B$17</definedName>
    <definedName name="ri_px">Inputs!$B$18</definedName>
    <definedName name="ri_take">Inputs!$B$19</definedName>
    <definedName name="ri_cost">Inputs!$B$20</definedName>
    <definedName name="sh_mandiri">Inputs!$B$23</definedName>
    <definedName name="sh_bni">Inputs!$B$24</definedName>
    <definedName name="sh_bri">Inputs!$B$25</definedName>
    <definedName name="sh_bri_aug">Inputs!$B$26</definedName>
    <definedName name="sh_epf">Inputs!$B$27</definedName>
    <definedName name="ff_idx">Inputs!$B$28</definedName>
    <definedName name="ff_min1">Inputs!$B$29</definedName>
    <definedName name="ff_min2">Inputs!$B$30</definedName>
    <definedName name="eq_jun26">Inputs!$B$33</definedName>
    <definedName name="eq_dec25">Inputs!$B$34</definedName>
    <definedName name="assets_jun26">Inputs!$B$35</definedName>
    <definedName name="ni_q1_26">Inputs!$B$36</definedName>
    <definedName name="ni_q2_26">Inputs!$B$37</definedName>
    <definedName name="ni_ttm">Inputs!$B$38</definedName>
    <definedName name="ni_fy25">Inputs!$B$39</definedName>
    <definedName name="div_fy25">Inputs!$B$40</definedName>
    <definedName name="div_fy24">Inputs!$B$41</definedName>
    <definedName name="fin_jun26">Inputs!$B$42</definedName>
    <definedName name="dep_jun26">Inputs!$B$43</definedName>
    <definedName name="casa_jun26">Inputs!$B$44</definedName>
    <definedName name="npf_gross">Inputs!$B$45</definedName>
    <definedName name="coc">Inputs!$B$46</definedName>
    <definedName name="cap_2026">Inputs!$B$49</definedName>
    <definedName name="cap_2027">Inputs!$B$50</definedName>
    <definedName name="car_2026">Inputs!$B$51</definedName>
    <definedName name="car_2027">Inputs!$B$52</definedName>
    <definedName name="kbmi4">Inputs!$B$53</definedName>
    <definedName name="ni_2026f">Inputs!$B$56</definedName>
    <definedName name="ni_2027f">Inputs!$B$57</definedName>
    <definedName name="ni_2028f">Inputs!$B$58</definedName>
    <definedName name="payout">Inputs!$B$59</definedName>
    <definedName name="r_idle">Inputs!$B$60</definedName>
    <definedName name="r_deploy">Inputs!$B$61</definedName>
    <definedName name="ri_frac27">Inputs!$B$62</definedName>
    <definedName name="coe">Inputs!$B$63</definedName>
    <definedName name="g_lr">Inputs!$B$64</definedName>
    <definedName name="bvps_now">Inputs!$B$67</definedName>
    <definedName name="eps_ttm">Inputs!$B$68</definedName>
    <definedName name="pb_now">Inputs!$B$69</definedName>
    <definedName name="pe_ttm">Inputs!$B$70</definedName>
    <definedName name="roe_now">Inputs!$B$71</definedName>
    <definedName name="mcap_now">Inputs!$B$72</definedName>
    <definedName name="chg_day">Inputs!$B$73</definedName>
    <definedName name="vol_mult">Inputs!$B$74</definedName>
    <definedName name="from_hi52">Inputs!$B$75</definedName>
    <definedName name="ff_calc">Inputs!$B$76</definedName>
    <definedName name="fdr">Inputs!$B$77</definedName>
    <definedName name="casa_ratio">Inputs!$B$78</definedName>
    <definedName name="ri_new">Inputs!$B$79</definedName>
    <definedName name="ri_dil_chk">Inputs!$B$80</definedName>
    <definedName name="ent_m">Free_Float!$D$5</definedName>
    <definedName name="ent_bni">Free_Float!$D$6</definedName>
    <definedName name="ent_bri">Free_Float!$D$7</definedName>
    <definedName name="ent_pub">Free_Float!$D$8</definedName>
    <definedName name="pub_pre">Free_Float!$B$8</definedName>
    <definedName name="grid_m">Free_Float!$H$42</definedName>
    <definedName name="p22_old">Precedent_2022!$B$5</definedName>
    <definedName name="p22_new">Precedent_2022!$B$6</definedName>
    <definedName name="p22_max">Precedent_2022!$B$7</definedName>
    <definedName name="p22_px">Precedent_2022!$B$8</definedName>
    <definedName name="p22_ann">Precedent_2022!$B$9</definedName>
    <definedName name="p22_cum">Precedent_2022!$B$10</definedName>
    <definedName name="p22_ex">Precedent_2022!$B$11</definedName>
    <definedName name="p22_low">Precedent_2022!$B$12</definedName>
    <definedName name="p22_q1">Precedent_2022!$B$13</definedName>
    <definedName name="p22_y1">Precedent_2022!$B$14</definedName>
    <definedName name="p22_m_pre">Precedent_2022!$B$15</definedName>
    <definedName name="p22_bni_take">Precedent_2022!$B$16</definedName>
    <definedName name="p22_terp">Precedent_2022!$B$17</definedName>
    <definedName name="p22_disc_cum">Precedent_2022!$B$18</definedName>
    <definedName name="p22_disc_terp">Precedent_2022!$B$19</definedName>
    <definedName name="p22_issued">Precedent_2022!$B$20</definedName>
    <definedName name="p22_drift">Precedent_2022!$B$21</definedName>
    <definedName name="p22_ex_terp">Precedent_2022!$B$22</definedName>
    <definedName name="p22_low_terp">Precedent_2022!$B$23</definedName>
    <definedName name="p22_rebound">Precedent_2022!$B$24</definedName>
    <definedName name="pub_new22">Precedent_2022!$D$30</definedName>
    <definedName name="pub_cash22">Precedent_2022!$B$32</definedName>
    <definedName name="cap_implied_px">Capital!$B$18</definedName>
    <definedName name="car27_noRI">Capital!$B$21</definedName>
    <definedName name="roe28_ri">Projections!$E$25</definedName>
    <definedName name="roe28_nori">Projections!$E$11</definedName>
    <definedName name="roe27_ri">Projections!$D$25</definedName>
    <definedName name="eps28_chg">Projections!$E$26</definedName>
    <definedName name="fv_ri">Valuation!$D$10</definedName>
    <definedName name="coe_mkt">Valuation!$C$12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#,##0;(#,##0);&quot;-&quot;"/>
    <numFmt numFmtId="165" formatCode="#,##0.0;(#,##0.0);&quot;-&quot;"/>
    <numFmt numFmtId="166" formatCode="0.00%;(0.00%);&quot;-&quot;"/>
    <numFmt numFmtId="167" formatCode="0.0%;(0.0%);&quot;-&quot;"/>
    <numFmt numFmtId="168" formatCode="0.00&quot;x&quot;;(0.00&quot;x&quot;);&quot;-&quot;"/>
    <numFmt numFmtId="169" formatCode="0.0%"/>
    <numFmt numFmtId="170" formatCode="0.0;(0.0);&quot;-&quot;"/>
    <numFmt numFmtId="171" formatCode="yyyy-mm-dd"/>
    <numFmt numFmtId="172" formatCode="dd-mmm-yy"/>
  </numFmts>
  <fonts count="9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595959"/>
      <sz val="9"/>
    </font>
    <font>
      <name val="Arial"/>
      <b val="1"/>
      <color rgb="00000000"/>
      <sz val="10"/>
    </font>
    <font>
      <name val="Arial"/>
      <b val="1"/>
      <color rgb="00000000"/>
      <sz val="11"/>
    </font>
    <font>
      <name val="Arial"/>
      <color rgb="00000000"/>
      <sz val="10"/>
    </font>
    <font>
      <name val="Arial"/>
      <color rgb="000000FF"/>
      <sz val="10"/>
    </font>
    <font>
      <name val="Arial"/>
      <color rgb="00008000"/>
      <sz val="10"/>
    </font>
    <font>
      <name val="Arial"/>
      <color rgb="000563C1"/>
      <sz val="10"/>
    </font>
  </fonts>
  <fills count="4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top style="thin">
        <color rgb="00BFBFBF"/>
      </top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center" vertical="center"/>
    </xf>
    <xf numFmtId="0" fontId="5" fillId="0" borderId="0" pivotButton="0" quotePrefix="0" xfId="0"/>
    <xf numFmtId="164" fontId="7" fillId="0" borderId="0" applyAlignment="1" pivotButton="0" quotePrefix="0" xfId="0">
      <alignment horizontal="center" vertical="center"/>
    </xf>
    <xf numFmtId="167" fontId="7" fillId="0" borderId="0" applyAlignment="1" pivotButton="0" quotePrefix="0" xfId="0">
      <alignment horizontal="center" vertical="center"/>
    </xf>
    <xf numFmtId="168" fontId="7" fillId="0" borderId="0" applyAlignment="1" pivotButton="0" quotePrefix="0" xfId="0">
      <alignment horizontal="center" vertical="center"/>
    </xf>
    <xf numFmtId="165" fontId="7" fillId="0" borderId="0" applyAlignment="1" pivotButton="0" quotePrefix="0" xfId="0">
      <alignment horizontal="center" vertical="center"/>
    </xf>
    <xf numFmtId="166" fontId="7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6" fillId="0" borderId="0" pivotButton="0" quotePrefix="0" xfId="0"/>
    <xf numFmtId="0" fontId="6" fillId="3" borderId="0" pivotButton="0" quotePrefix="0" xfId="0"/>
    <xf numFmtId="0" fontId="7" fillId="0" borderId="0" pivotButton="0" quotePrefix="0" xfId="0"/>
    <xf numFmtId="164" fontId="6" fillId="0" borderId="0" pivotButton="0" quotePrefix="0" xfId="0"/>
    <xf numFmtId="165" fontId="6" fillId="0" borderId="0" pivotButton="0" quotePrefix="0" xfId="0"/>
    <xf numFmtId="166" fontId="6" fillId="0" borderId="0" pivotButton="0" quotePrefix="0" xfId="0"/>
    <xf numFmtId="164" fontId="6" fillId="3" borderId="0" pivotButton="0" quotePrefix="0" xfId="0"/>
    <xf numFmtId="167" fontId="6" fillId="3" borderId="0" pivotButton="0" quotePrefix="0" xfId="0"/>
    <xf numFmtId="167" fontId="6" fillId="0" borderId="0" pivotButton="0" quotePrefix="0" xfId="0"/>
    <xf numFmtId="165" fontId="5" fillId="0" borderId="0" pivotButton="0" quotePrefix="0" xfId="0"/>
    <xf numFmtId="168" fontId="5" fillId="0" borderId="0" pivotButton="0" quotePrefix="0" xfId="0"/>
    <xf numFmtId="167" fontId="5" fillId="0" borderId="0" pivotButton="0" quotePrefix="0" xfId="0"/>
    <xf numFmtId="164" fontId="5" fillId="0" borderId="0" pivotButton="0" quotePrefix="0" xfId="0"/>
    <xf numFmtId="166" fontId="5" fillId="0" borderId="0" pivotButton="0" quotePrefix="0" xfId="0"/>
    <xf numFmtId="0" fontId="3" fillId="0" borderId="0" pivotButton="0" quotePrefix="0" xfId="0"/>
    <xf numFmtId="164" fontId="6" fillId="0" borderId="0" applyAlignment="1" pivotButton="0" quotePrefix="0" xfId="0">
      <alignment horizontal="center" vertical="center"/>
    </xf>
    <xf numFmtId="167" fontId="5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2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  <xf numFmtId="166" fontId="5" fillId="0" borderId="0" applyAlignment="1" pivotButton="0" quotePrefix="0" xfId="0">
      <alignment horizontal="center" vertical="center"/>
    </xf>
    <xf numFmtId="168" fontId="5" fillId="0" borderId="0" applyAlignment="1" pivotButton="0" quotePrefix="0" xfId="0">
      <alignment horizontal="center" vertical="center"/>
    </xf>
    <xf numFmtId="3" fontId="5" fillId="0" borderId="0" applyAlignment="1" pivotButton="0" quotePrefix="0" xfId="0">
      <alignment horizontal="center" vertical="center"/>
    </xf>
    <xf numFmtId="164" fontId="7" fillId="0" borderId="0" pivotButton="0" quotePrefix="0" xfId="0"/>
    <xf numFmtId="164" fontId="3" fillId="0" borderId="1" pivotButton="0" quotePrefix="0" xfId="0"/>
    <xf numFmtId="166" fontId="3" fillId="0" borderId="1" pivotButton="0" quotePrefix="0" xfId="0"/>
    <xf numFmtId="167" fontId="6" fillId="0" borderId="0" applyAlignment="1" pivotButton="0" quotePrefix="0" xfId="0">
      <alignment horizontal="center" vertical="center"/>
    </xf>
    <xf numFmtId="167" fontId="6" fillId="3" borderId="0" applyAlignment="1" pivotButton="0" quotePrefix="0" xfId="0">
      <alignment horizontal="center" vertical="center"/>
    </xf>
    <xf numFmtId="166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1" fontId="5" fillId="0" borderId="0" applyAlignment="1" pivotButton="0" quotePrefix="0" xfId="0">
      <alignment horizontal="center" vertical="center"/>
    </xf>
    <xf numFmtId="9" fontId="6" fillId="2" borderId="0" applyAlignment="1" pivotButton="0" quotePrefix="0" xfId="0">
      <alignment horizontal="center" vertical="center"/>
    </xf>
    <xf numFmtId="169" fontId="5" fillId="0" borderId="0" applyAlignment="1" pivotButton="0" quotePrefix="0" xfId="0">
      <alignment horizontal="center" vertical="center"/>
    </xf>
    <xf numFmtId="166" fontId="7" fillId="0" borderId="0" pivotButton="0" quotePrefix="0" xfId="0"/>
    <xf numFmtId="164" fontId="3" fillId="0" borderId="0" pivotButton="0" quotePrefix="0" xfId="0"/>
    <xf numFmtId="166" fontId="3" fillId="0" borderId="0" pivotButton="0" quotePrefix="0" xfId="0"/>
    <xf numFmtId="164" fontId="6" fillId="2" borderId="0" applyAlignment="1" pivotButton="0" quotePrefix="0" xfId="0">
      <alignment horizontal="center" vertical="center"/>
    </xf>
    <xf numFmtId="167" fontId="6" fillId="2" borderId="0" applyAlignment="1" pivotButton="0" quotePrefix="0" xfId="0">
      <alignment horizontal="center" vertical="center"/>
    </xf>
    <xf numFmtId="170" fontId="5" fillId="0" borderId="0" applyAlignment="1" pivotButton="0" quotePrefix="0" xfId="0">
      <alignment horizontal="center" vertical="center"/>
    </xf>
    <xf numFmtId="168" fontId="6" fillId="0" borderId="0" applyAlignment="1" pivotButton="0" quotePrefix="0" xfId="0">
      <alignment horizontal="center" vertical="center"/>
    </xf>
    <xf numFmtId="167" fontId="3" fillId="0" borderId="0" applyAlignment="1" pivotButton="0" quotePrefix="0" xfId="0">
      <alignment horizontal="center" vertical="center"/>
    </xf>
    <xf numFmtId="172" fontId="6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A9D08E"/>
        </patternFill>
      </fill>
    </dxf>
    <dxf>
      <fill>
        <patternFill patternType="solid">
          <fgColor rgb="00E2EFDA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BRIS close (Rp)</a:t>
            </a:r>
          </a:p>
        </rich>
      </tx>
    </title>
    <plotArea>
      <lineChart>
        <grouping val="standard"/>
        <ser>
          <idx val="0"/>
          <order val="0"/>
          <tx>
            <strRef>
              <f>'Prices'!B4</f>
            </strRef>
          </tx>
          <spPr>
            <a:ln xmlns:a="http://schemas.openxmlformats.org/drawingml/2006/main" w="12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'Prices'!$A$5:$A$1142</f>
            </numRef>
          </cat>
          <val>
            <numRef>
              <f>'Prices'!$B$5:$B$1142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numFmt formatCode="mmm-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0.xml.rels><Relationships xmlns="http://schemas.openxmlformats.org/package/2006/relationships"><Relationship Type="http://schemas.openxmlformats.org/officeDocument/2006/relationships/hyperlink" Target="https://ir.bankbsi.co.id/misc/GMS/2026/EGMS/Keterbukaan-Informasi-ID.pdf" TargetMode="External" Id="rId1"/><Relationship Type="http://schemas.openxmlformats.org/officeDocument/2006/relationships/hyperlink" Target="https://ir.bankbsi.co.id/misc/GMS/2026/EGMS/Pengumuman-RUPSLB-ID.pdf" TargetMode="External" Id="rId2"/><Relationship Type="http://schemas.openxmlformats.org/officeDocument/2006/relationships/hyperlink" Target="https://ir.bankbsi.co.id/misc/GMS/2022/EGMS/Keterbukaan-Informasi-Final.pdf" TargetMode="External" Id="rId3"/><Relationship Type="http://schemas.openxmlformats.org/officeDocument/2006/relationships/hyperlink" Target="https://stockmap.jatevo.ai" TargetMode="External" Id="rId4"/><Relationship Type="http://schemas.openxmlformats.org/officeDocument/2006/relationships/hyperlink" Target="https://stockmap.jatevo.ai" TargetMode="External" Id="rId5"/><Relationship Type="http://schemas.openxmlformats.org/officeDocument/2006/relationships/hyperlink" Target="https://finance.yahoo.com/quote/BRIS.JK" TargetMode="External" Id="rId6"/><Relationship Type="http://schemas.openxmlformats.org/officeDocument/2006/relationships/hyperlink" Target="https://keuangan.kontan.co.id/news/bsi-cetak-laba-rp-416-triliun-di-semester-i-2026-tumbuh-1108" TargetMode="External" Id="rId7"/><Relationship Type="http://schemas.openxmlformats.org/officeDocument/2006/relationships/hyperlink" Target="https://www.kabarbursa.com/market-hari-ini/nim-bsi-bris-turun-31-bp-di-2q26-bisnis-emas-tumbuh-81-persen" TargetMode="External" Id="rId8"/><Relationship Type="http://schemas.openxmlformats.org/officeDocument/2006/relationships/hyperlink" Target="https://katadata.co.id/finansial/bursa/6abc969d33ca2/bsi-bris-bakal-right-issue-6-8-miliar-saham-bersiap-tambah-free-float" TargetMode="External" Id="rId9"/><Relationship Type="http://schemas.openxmlformats.org/officeDocument/2006/relationships/hyperlink" Target="https://www.investasiku.id/eduvest/saham/free-float-saham" TargetMode="External" Id="rId10"/><Relationship Type="http://schemas.openxmlformats.org/officeDocument/2006/relationships/hyperlink" Target="https://keuangan.kontan.co.id/news/bbni-serap-sebagian-hak-di-rights-issue-bsi-bris-dengan-nilai-rp-500-miliar" TargetMode="External" Id="rId11"/><Relationship Type="http://schemas.openxmlformats.org/officeDocument/2006/relationships/hyperlink" Target="https://finansial.bisnis.com/read/20221004/90/1583974/bmri-dan-bbri-berkomitmen-serap-rights-issue-bris-bbni-gimana" TargetMode="External" Id="rId12"/><Relationship Type="http://schemas.openxmlformats.org/officeDocument/2006/relationships/hyperlink" Target="https://www.indopremier.com/ipotnews/newsDetail.php?jdl=BMRI+tak+Lagi+Konsolidasikan+BRIS+Usai+Hak+Seri+A+Dwiwarna+Beralih+ke+Danantara&amp;news_id=212344&amp;group_news=IPOTNEWS" TargetMode="External" Id="rId13"/><Relationship Type="http://schemas.openxmlformats.org/officeDocument/2006/relationships/hyperlink" Target="https://www.cnbcindonesia.com/market/20260202143530-17-707407/begini-rencana-dividen-bsi--bris--setelah-jadi-bumn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</cols>
  <sheetData>
    <row r="1">
      <c r="A1" s="1" t="inlineStr">
        <is>
          <t>BRIS: rights issue II model</t>
        </is>
      </c>
    </row>
    <row r="2">
      <c r="A2" s="2" t="inlineStr">
        <is>
          <t>PT Bank Syariah Indonesia (Persero) Tbk. Built by StockMap Research for the note of 1-Oct-2026. Prices as of the 30-Sep-2026 close.</t>
        </is>
      </c>
    </row>
    <row r="4">
      <c r="A4" s="3" t="inlineStr">
        <is>
          <t>Key outputs (live)</t>
        </is>
      </c>
      <c r="B4" s="4" t="inlineStr">
        <is>
          <t>Value</t>
        </is>
      </c>
      <c r="C4" s="4" t="inlineStr">
        <is>
          <t>Where</t>
        </is>
      </c>
    </row>
    <row r="5">
      <c r="A5" s="5" t="inlineStr">
        <is>
          <t>Last close (Rp)</t>
        </is>
      </c>
      <c r="B5" s="6">
        <f>px_last</f>
        <v>1420.0</v>
      </c>
      <c r="C5" s="2" t="inlineStr">
        <is>
          <t>Inputs</t>
        </is>
      </c>
    </row>
    <row r="6">
      <c r="A6" s="5" t="inlineStr">
        <is>
          <t>Change on announcement day</t>
        </is>
      </c>
      <c r="B6" s="7">
        <f>chg_day</f>
        <v>-0.06270627062706269</v>
      </c>
      <c r="C6" s="2" t="inlineStr">
        <is>
          <t>Inputs</t>
        </is>
      </c>
    </row>
    <row r="7">
      <c r="A7" s="5" t="inlineStr">
        <is>
          <t>Volume vs 20-day average</t>
        </is>
      </c>
      <c r="B7" s="8">
        <f>vol_mult</f>
        <v>2.4505417122492283</v>
      </c>
      <c r="C7" s="2" t="inlineStr">
        <is>
          <t>Inputs</t>
        </is>
      </c>
    </row>
    <row r="8">
      <c r="A8" s="5" t="inlineStr">
        <is>
          <t>Base-case exercise price (Rp)</t>
        </is>
      </c>
      <c r="B8" s="6">
        <f>ri_px</f>
        <v>1100.0</v>
      </c>
      <c r="C8" s="2" t="inlineStr">
        <is>
          <t>Inputs</t>
        </is>
      </c>
    </row>
    <row r="9">
      <c r="A9" s="5" t="inlineStr">
        <is>
          <t>TERP at base case (Rp)</t>
        </is>
      </c>
      <c r="B9" s="9">
        <f>RI_Mechanics!I10</f>
        <v>1378.8885241485218</v>
      </c>
      <c r="C9" s="2" t="inlineStr">
        <is>
          <t>RI_Mechanics</t>
        </is>
      </c>
    </row>
    <row r="10">
      <c r="A10" s="5" t="inlineStr">
        <is>
          <t>Discount to TERP at base case</t>
        </is>
      </c>
      <c r="B10" s="7">
        <f>RI_Mechanics!I11</f>
        <v>0.20225603394642677</v>
      </c>
      <c r="C10" s="2" t="inlineStr">
        <is>
          <t>RI_Mechanics</t>
        </is>
      </c>
    </row>
    <row r="11">
      <c r="A11" s="5" t="inlineStr">
        <is>
          <t>Gross proceeds at base case (Rp bn)</t>
        </is>
      </c>
      <c r="B11" s="6">
        <f>RI_Mechanics!I13</f>
        <v>7480.0</v>
      </c>
      <c r="C11" s="2" t="inlineStr">
        <is>
          <t>RI_Mechanics</t>
        </is>
      </c>
    </row>
    <row r="12">
      <c r="A12" s="5" t="inlineStr">
        <is>
          <t>Free float now (KSEI basis)</t>
        </is>
      </c>
      <c r="B12" s="10">
        <f>ff_calc</f>
        <v>0.09919213131343287</v>
      </c>
      <c r="C12" s="2" t="inlineStr">
        <is>
          <t>Inputs</t>
        </is>
      </c>
    </row>
    <row r="13">
      <c r="A13" s="5" t="inlineStr">
        <is>
          <t>Free float: everyone subscribes</t>
        </is>
      </c>
      <c r="B13" s="10">
        <f>Free_Float!C24</f>
        <v>0.09919213131343285</v>
      </c>
      <c r="C13" s="2" t="inlineStr">
        <is>
          <t>Free_Float</t>
        </is>
      </c>
    </row>
    <row r="14">
      <c r="A14" s="5" t="inlineStr">
        <is>
          <t>Free float: 2022 replay</t>
        </is>
      </c>
      <c r="B14" s="10">
        <f>Free_Float!D24</f>
        <v>0.13685996636863604</v>
      </c>
      <c r="C14" s="2" t="inlineStr">
        <is>
          <t>Free_Float</t>
        </is>
      </c>
    </row>
    <row r="15">
      <c r="A15" s="5" t="inlineStr">
        <is>
          <t>Free float: BNI and BRI step aside</t>
        </is>
      </c>
      <c r="B15" s="10">
        <f>Free_Float!E24</f>
        <v>0.14880261656054844</v>
      </c>
      <c r="C15" s="2" t="inlineStr">
        <is>
          <t>Free_Float</t>
        </is>
      </c>
    </row>
    <row r="16">
      <c r="A16" s="5" t="inlineStr">
        <is>
          <t>Exercise price implied by capital guidance (Rp)</t>
        </is>
      </c>
      <c r="B16" s="6">
        <f>cap_implied_px</f>
        <v>750.1485442661913</v>
      </c>
      <c r="C16" s="2" t="inlineStr">
        <is>
          <t>Capital</t>
        </is>
      </c>
    </row>
    <row r="17">
      <c r="A17" s="5" t="inlineStr">
        <is>
          <t>CAR in 2027 with no rights issue</t>
        </is>
      </c>
      <c r="B17" s="10">
        <f>car27_noRI</f>
        <v>0.21482403353516533</v>
      </c>
      <c r="C17" s="2" t="inlineStr">
        <is>
          <t>Capital</t>
        </is>
      </c>
    </row>
    <row r="18">
      <c r="A18" s="5" t="inlineStr">
        <is>
          <t>EPS change in 2028E from the issue</t>
        </is>
      </c>
      <c r="B18" s="7">
        <f>eps28_chg</f>
        <v>-0.07259605416182646</v>
      </c>
      <c r="C18" s="2" t="inlineStr">
        <is>
          <t>Projections</t>
        </is>
      </c>
    </row>
    <row r="19">
      <c r="A19" s="5" t="inlineStr">
        <is>
          <t>Fair value per share, with issue (Rp)</t>
        </is>
      </c>
      <c r="B19" s="6">
        <f>fv_ri</f>
        <v>1536.287489071036</v>
      </c>
      <c r="C19" s="2" t="inlineStr">
        <is>
          <t>Valuation</t>
        </is>
      </c>
    </row>
    <row r="20">
      <c r="A20" s="5" t="inlineStr">
        <is>
          <t>Cost of equity the market implies</t>
        </is>
      </c>
      <c r="B20" s="7">
        <f>coe_mkt</f>
        <v>0.14121685995551522</v>
      </c>
      <c r="C20" s="2" t="inlineStr">
        <is>
          <t>Valuation</t>
        </is>
      </c>
    </row>
    <row r="22">
      <c r="A22" s="11" t="inlineStr">
        <is>
          <t>Colour code</t>
        </is>
      </c>
    </row>
    <row r="23">
      <c r="A23" s="12" t="inlineStr">
        <is>
          <t>Blue text: hard input (source on the same row)</t>
        </is>
      </c>
    </row>
    <row r="24">
      <c r="A24" s="13" t="inlineStr">
        <is>
          <t>Yellow fill: assumption to change</t>
        </is>
      </c>
    </row>
    <row r="25">
      <c r="A25" s="5" t="inlineStr">
        <is>
          <t>Black text: formula</t>
        </is>
      </c>
    </row>
    <row r="26">
      <c r="A26" s="14" t="inlineStr">
        <is>
          <t>Green text: link to another sheet</t>
        </is>
      </c>
    </row>
    <row r="28">
      <c r="A28" s="2" t="inlineStr">
        <is>
          <t>For information only; not investment advice. Projections are illustrative and depend on the final prospectus terms (price, ratio, standby buyer), which BSI has not published.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8" customWidth="1" min="3" max="3"/>
    <col width="120" customWidth="1" min="4" max="4"/>
  </cols>
  <sheetData>
    <row r="1">
      <c r="A1" s="1" t="inlineStr">
        <is>
          <t>Inputs</t>
        </is>
      </c>
    </row>
    <row r="2">
      <c r="A2" s="2" t="inlineStr">
        <is>
          <t>Blue = hard input with its source in column D. Yellow = assumption you can change. Black = formula. Rp bn unless stated. Prices as of the 30-Sep-2026 close.</t>
        </is>
      </c>
    </row>
    <row r="4">
      <c r="A4" s="3" t="inlineStr">
        <is>
          <t>Item</t>
        </is>
      </c>
      <c r="B4" s="4" t="inlineStr">
        <is>
          <t>Value</t>
        </is>
      </c>
      <c r="C4" s="4" t="inlineStr">
        <is>
          <t>Unit</t>
        </is>
      </c>
      <c r="D4" s="4" t="inlineStr">
        <is>
          <t>Source / note</t>
        </is>
      </c>
    </row>
    <row r="5">
      <c r="A5" s="11" t="inlineStr">
        <is>
          <t>Market data</t>
        </is>
      </c>
    </row>
    <row r="6">
      <c r="A6" s="5" t="inlineStr">
        <is>
          <t>Last close, 30-Sep-2026</t>
        </is>
      </c>
      <c r="B6" s="15" t="n">
        <v>1420</v>
      </c>
      <c r="C6" s="2" t="inlineStr">
        <is>
          <t>Rp</t>
        </is>
      </c>
      <c r="D6" s="2" t="inlineStr">
        <is>
          <t>Yahoo Finance daily bar BRIS.JK (StockMap market cache). Closed at the day low; intraday press reports quoted Rp1,485</t>
        </is>
      </c>
    </row>
    <row r="7">
      <c r="A7" s="5" t="inlineStr">
        <is>
          <t>Previous close, 29-Sep-2026</t>
        </is>
      </c>
      <c r="B7" s="15" t="n">
        <v>1515</v>
      </c>
      <c r="C7" s="2" t="inlineStr">
        <is>
          <t>Rp</t>
        </is>
      </c>
      <c r="D7" s="2" t="inlineStr">
        <is>
          <t>Yahoo Finance daily bar BRIS.JK</t>
        </is>
      </c>
    </row>
    <row r="8">
      <c r="A8" s="5" t="inlineStr">
        <is>
          <t>Volume, 30-Sep-2026</t>
        </is>
      </c>
      <c r="B8" s="15" t="n">
        <v>52808500</v>
      </c>
      <c r="C8" s="2" t="inlineStr">
        <is>
          <t>shares</t>
        </is>
      </c>
      <c r="D8" s="2" t="inlineStr">
        <is>
          <t>Yahoo Finance daily bar BRIS.JK</t>
        </is>
      </c>
    </row>
    <row r="9">
      <c r="A9" s="5" t="inlineStr">
        <is>
          <t>Average volume, 20 sessions before</t>
        </is>
      </c>
      <c r="B9" s="15" t="n">
        <v>21549725</v>
      </c>
      <c r="C9" s="2" t="inlineStr">
        <is>
          <t>shares</t>
        </is>
      </c>
      <c r="D9" s="2" t="inlineStr">
        <is>
          <t>Computed from Yahoo daily bars, 1-Sep to 29-Sep-2026</t>
        </is>
      </c>
    </row>
    <row r="10">
      <c r="A10" s="5" t="inlineStr">
        <is>
          <t>Average daily value traded, 20 sessions</t>
        </is>
      </c>
      <c r="B10" s="16" t="n">
        <v>35.86</v>
      </c>
      <c r="C10" s="2" t="inlineStr">
        <is>
          <t>Rp bn</t>
        </is>
      </c>
      <c r="D10" s="2" t="inlineStr">
        <is>
          <t>Close x volume, averaged over the same 20 sessions</t>
        </is>
      </c>
    </row>
    <row r="11">
      <c r="A11" s="5" t="inlineStr">
        <is>
          <t>52-week high close</t>
        </is>
      </c>
      <c r="B11" s="15" t="n">
        <v>2690</v>
      </c>
      <c r="C11" s="2" t="inlineStr">
        <is>
          <t>Rp</t>
        </is>
      </c>
      <c r="D11" s="2" t="inlineStr">
        <is>
          <t>Highest close in the last 252 sessions (2025-09-24)</t>
        </is>
      </c>
    </row>
    <row r="12">
      <c r="A12" s="5" t="inlineStr">
        <is>
          <t>Shares outstanding</t>
        </is>
      </c>
      <c r="B12" s="15" t="n">
        <v>46129260138</v>
      </c>
      <c r="C12" s="2" t="inlineStr">
        <is>
          <t>shares</t>
        </is>
      </c>
      <c r="D12" s="2" t="inlineStr">
        <is>
          <t>KSEI / IDX; unchanged since the Dec-2022 rights issue</t>
        </is>
      </c>
    </row>
    <row r="13">
      <c r="A13" s="5" t="inlineStr">
        <is>
          <t>Par value per share</t>
        </is>
      </c>
      <c r="B13" s="15" t="n">
        <v>500</v>
      </c>
      <c r="C13" s="2" t="inlineStr">
        <is>
          <t>Rp</t>
        </is>
      </c>
      <c r="D13" s="2" t="inlineStr">
        <is>
          <t>BSI Keterbukaan Informasi PMHMETD II, 30-Sep-2026</t>
        </is>
      </c>
    </row>
    <row r="15">
      <c r="A15" s="11" t="inlineStr">
        <is>
          <t>Rights issue II terms</t>
        </is>
      </c>
    </row>
    <row r="16">
      <c r="A16" s="5" t="inlineStr">
        <is>
          <t>Maximum new Series B shares</t>
        </is>
      </c>
      <c r="B16" s="15" t="n">
        <v>6800000000</v>
      </c>
      <c r="C16" s="2" t="inlineStr">
        <is>
          <t>shares</t>
        </is>
      </c>
      <c r="D16" s="2" t="inlineStr">
        <is>
          <t>BSI Keterbukaan Informasi PMHMETD II, 30-Sep-2026: "sebanyak-banyaknya 6.800.000.000 lembar saham Seri B"</t>
        </is>
      </c>
    </row>
    <row r="17">
      <c r="A17" s="5" t="inlineStr">
        <is>
          <t>Maximum dilution, as disclosed</t>
        </is>
      </c>
      <c r="B17" s="17" t="n">
        <v>0.1285</v>
      </c>
      <c r="C17" s="2" t="inlineStr">
        <is>
          <t>%</t>
        </is>
      </c>
      <c r="D17" s="2" t="inlineStr">
        <is>
          <t>BSI Keterbukaan Informasi PMHMETD II, 30-Sep-2026: "dilusi ... sebanyak-banyaknya sebesar 12,85%"</t>
        </is>
      </c>
    </row>
    <row r="18">
      <c r="A18" s="5" t="inlineStr">
        <is>
          <t>Exercise price, base case</t>
        </is>
      </c>
      <c r="B18" s="18" t="n">
        <v>1100</v>
      </c>
      <c r="C18" s="2" t="inlineStr">
        <is>
          <t>Rp</t>
        </is>
      </c>
      <c r="D18" s="2" t="inlineStr">
        <is>
          <t>Assumption. The 2022 discount to TERP (20.8%) applied to the 30-Sep close gives about Rp1,090. Final price comes with the prospectus</t>
        </is>
      </c>
    </row>
    <row r="19">
      <c r="A19" s="5" t="inlineStr">
        <is>
          <t>Share of the maximum actually issued</t>
        </is>
      </c>
      <c r="B19" s="19" t="n">
        <v>1</v>
      </c>
      <c r="C19" s="2" t="inlineStr">
        <is>
          <t>%</t>
        </is>
      </c>
      <c r="D19" s="2" t="inlineStr">
        <is>
          <t>Assumption. In 2022 BSI issued 5.0bn of the 6.0bn shares approved (83%)</t>
        </is>
      </c>
    </row>
    <row r="20">
      <c r="A20" s="5" t="inlineStr">
        <is>
          <t>Issue costs, % of gross proceeds</t>
        </is>
      </c>
      <c r="B20" s="19" t="n">
        <v>0.01</v>
      </c>
      <c r="C20" s="2" t="inlineStr">
        <is>
          <t>%</t>
        </is>
      </c>
      <c r="D20" s="2" t="inlineStr">
        <is>
          <t>Assumption</t>
        </is>
      </c>
    </row>
    <row r="22">
      <c r="A22" s="11" t="inlineStr">
        <is>
          <t>Shareholders (KSEI 1% list)</t>
        </is>
      </c>
    </row>
    <row r="23">
      <c r="A23" s="5" t="inlineStr">
        <is>
          <t>Bank Mandiri</t>
        </is>
      </c>
      <c r="B23" s="15" t="n">
        <v>23740608436</v>
      </c>
      <c r="C23" s="2" t="inlineStr">
        <is>
          <t>shares</t>
        </is>
      </c>
      <c r="D23" s="2" t="inlineStr">
        <is>
          <t>KSEI holders above 1%, 30-Jun-2026 and 31-Aug-2026 (51.47%), via StockMap</t>
        </is>
      </c>
    </row>
    <row r="24">
      <c r="A24" s="5" t="inlineStr">
        <is>
          <t>Bank Negara Indonesia (BNI)</t>
        </is>
      </c>
      <c r="B24" s="15" t="n">
        <v>10720230418</v>
      </c>
      <c r="C24" s="2" t="inlineStr">
        <is>
          <t>shares</t>
        </is>
      </c>
      <c r="D24" s="2" t="inlineStr">
        <is>
          <t>KSEI holders above 1%, 30-Jun-2026 and 31-Aug-2026 (23.24%)</t>
        </is>
      </c>
    </row>
    <row r="25">
      <c r="A25" s="5" t="inlineStr">
        <is>
          <t>Bank Rakyat Indonesia (BRI)</t>
        </is>
      </c>
      <c r="B25" s="15" t="n">
        <v>7092761655</v>
      </c>
      <c r="C25" s="2" t="inlineStr">
        <is>
          <t>shares</t>
        </is>
      </c>
      <c r="D25" s="2" t="inlineStr">
        <is>
          <t>KSEI 30-Jun-2026 (15.38%), the basis of the IDX 9.91% free float. Jul/Aug lists show 6,995,600,520 (15.17%) under a renamed account</t>
        </is>
      </c>
    </row>
    <row r="26">
      <c r="A26" s="5" t="inlineStr">
        <is>
          <t>BRI line in the KSEI list, 31-Aug-2026</t>
        </is>
      </c>
      <c r="B26" s="15" t="n">
        <v>6995600520</v>
      </c>
      <c r="C26" s="2" t="inlineStr">
        <is>
          <t>shares</t>
        </is>
      </c>
      <c r="D26" s="2" t="inlineStr">
        <is>
          <t>KSEI holders above 1%, 31-Jul and 31-Aug-2026 (15.17%), account renamed; used only for the sensitivity on Free_Float</t>
        </is>
      </c>
    </row>
    <row r="27">
      <c r="A27" s="5" t="inlineStr">
        <is>
          <t>Employees Provident Fund (Malaysia), part of the float</t>
        </is>
      </c>
      <c r="B27" s="15" t="n">
        <v>529595900</v>
      </c>
      <c r="C27" s="2" t="inlineStr">
        <is>
          <t>shares</t>
        </is>
      </c>
      <c r="D27" s="2" t="inlineStr">
        <is>
          <t>KSEI holders above 1%, 31-Aug-2026 (1.15%)</t>
        </is>
      </c>
    </row>
    <row r="28">
      <c r="A28" s="5" t="inlineStr">
        <is>
          <t>Free float reported by IDX, 30-Sep-2026</t>
        </is>
      </c>
      <c r="B28" s="17" t="n">
        <v>0.09909999999999999</v>
      </c>
      <c r="C28" s="2" t="inlineStr">
        <is>
          <t>%</t>
        </is>
      </c>
      <c r="D28" s="2" t="inlineStr">
        <is>
          <t>IDX data quoted by Katadata and Bisnisinsight, 30-Sep-2026</t>
        </is>
      </c>
    </row>
    <row r="29">
      <c r="A29" s="5" t="inlineStr">
        <is>
          <t>Free-float floor due 31-Mar-2027</t>
        </is>
      </c>
      <c r="B29" s="20" t="n">
        <v>0.125</v>
      </c>
      <c r="C29" s="2" t="inlineStr">
        <is>
          <t>%</t>
        </is>
      </c>
      <c r="D29" s="2" t="inlineStr">
        <is>
          <t>IDX Rule I-A (Kep-00045/BEI/03-2026): market cap &gt;= Rp5tn and free float &lt;12.5% on 31-Mar-2026</t>
        </is>
      </c>
    </row>
    <row r="30">
      <c r="A30" s="5" t="inlineStr">
        <is>
          <t>Free-float floor due 31-Mar-2028</t>
        </is>
      </c>
      <c r="B30" s="20" t="n">
        <v>0.15</v>
      </c>
      <c r="C30" s="2" t="inlineStr">
        <is>
          <t>%</t>
        </is>
      </c>
      <c r="D30" s="2" t="inlineStr">
        <is>
          <t>IDX Rule I-A, second step for the same group of issuers</t>
        </is>
      </c>
    </row>
    <row r="32">
      <c r="A32" s="11" t="inlineStr">
        <is>
          <t>Financials</t>
        </is>
      </c>
    </row>
    <row r="33">
      <c r="A33" s="5" t="inlineStr">
        <is>
          <t>Total equity, 30-Jun-2026</t>
        </is>
      </c>
      <c r="B33" s="16" t="n">
        <v>51040.621</v>
      </c>
      <c r="C33" s="2" t="inlineStr">
        <is>
          <t>Rp bn</t>
        </is>
      </c>
      <c r="D33" s="2" t="inlineStr">
        <is>
          <t>BSI statements via Yahoo Finance (StockMap fundamentals cache)</t>
        </is>
      </c>
    </row>
    <row r="34">
      <c r="A34" s="5" t="inlineStr">
        <is>
          <t>Total equity, 31-Dec-2025</t>
        </is>
      </c>
      <c r="B34" s="16" t="n">
        <v>51952.874</v>
      </c>
      <c r="C34" s="2" t="inlineStr">
        <is>
          <t>Rp bn</t>
        </is>
      </c>
      <c r="D34" s="2" t="inlineStr">
        <is>
          <t>BSI statements via Yahoo Finance</t>
        </is>
      </c>
    </row>
    <row r="35">
      <c r="A35" s="5" t="inlineStr">
        <is>
          <t>Total assets, 30-Jun-2026</t>
        </is>
      </c>
      <c r="B35" s="16" t="n">
        <v>464507.837</v>
      </c>
      <c r="C35" s="2" t="inlineStr">
        <is>
          <t>Rp bn</t>
        </is>
      </c>
      <c r="D35" s="2" t="inlineStr">
        <is>
          <t>BSI statements via Yahoo Finance; Rp464.5tn per BSI H1-2026 release</t>
        </is>
      </c>
    </row>
    <row r="36">
      <c r="A36" s="5" t="inlineStr">
        <is>
          <t>Net profit, Q1-2026</t>
        </is>
      </c>
      <c r="B36" s="16" t="n">
        <v>2200.099</v>
      </c>
      <c r="C36" s="2" t="inlineStr">
        <is>
          <t>Rp bn</t>
        </is>
      </c>
      <c r="D36" s="2" t="inlineStr">
        <is>
          <t>BSI statements via Yahoo Finance</t>
        </is>
      </c>
    </row>
    <row r="37">
      <c r="A37" s="5" t="inlineStr">
        <is>
          <t>Net profit, Q2-2026</t>
        </is>
      </c>
      <c r="B37" s="16" t="n">
        <v>1955.61</v>
      </c>
      <c r="C37" s="2" t="inlineStr">
        <is>
          <t>Rp bn</t>
        </is>
      </c>
      <c r="D37" s="2" t="inlineStr">
        <is>
          <t>BSI statements via Yahoo Finance; H1-2026 Rp4.16tn, +11.08% y/y (Kontan)</t>
        </is>
      </c>
    </row>
    <row r="38">
      <c r="A38" s="5" t="inlineStr">
        <is>
          <t>Net profit, 12 months to 30-Jun-2026</t>
        </is>
      </c>
      <c r="B38" s="16" t="n">
        <v>7982.004</v>
      </c>
      <c r="C38" s="2" t="inlineStr">
        <is>
          <t>Rp bn</t>
        </is>
      </c>
      <c r="D38" s="2" t="inlineStr">
        <is>
          <t>BSI statements via Yahoo Finance</t>
        </is>
      </c>
    </row>
    <row r="39">
      <c r="A39" s="5" t="inlineStr">
        <is>
          <t>Net profit, FY2025</t>
        </is>
      </c>
      <c r="B39" s="16" t="n">
        <v>7567.523</v>
      </c>
      <c r="C39" s="2" t="inlineStr">
        <is>
          <t>Rp bn</t>
        </is>
      </c>
      <c r="D39" s="2" t="inlineStr">
        <is>
          <t>BSI statements via Yahoo Finance</t>
        </is>
      </c>
    </row>
    <row r="40">
      <c r="A40" s="5" t="inlineStr">
        <is>
          <t>Dividend on FY2025, paid May-2026</t>
        </is>
      </c>
      <c r="B40" s="16" t="n">
        <v>1513.505</v>
      </c>
      <c r="C40" s="2" t="inlineStr">
        <is>
          <t>Rp bn</t>
        </is>
      </c>
      <c r="D40" s="2" t="inlineStr">
        <is>
          <t>Cash flow statement; Rp32.81 per share, ex-date 18-May-2026</t>
        </is>
      </c>
    </row>
    <row r="41">
      <c r="A41" s="5" t="inlineStr">
        <is>
          <t>Dividend on FY2024, paid May-2025</t>
        </is>
      </c>
      <c r="B41" s="16" t="n">
        <v>1050.883</v>
      </c>
      <c r="C41" s="2" t="inlineStr">
        <is>
          <t>Rp bn</t>
        </is>
      </c>
      <c r="D41" s="2" t="inlineStr">
        <is>
          <t>Cash flow statement; Rp22.78 per share, 15% payout (CNBC Indonesia)</t>
        </is>
      </c>
    </row>
    <row r="42">
      <c r="A42" s="5" t="inlineStr">
        <is>
          <t>Financing, 30-Jun-2026</t>
        </is>
      </c>
      <c r="B42" s="15" t="n">
        <v>340000</v>
      </c>
      <c r="C42" s="2" t="inlineStr">
        <is>
          <t>Rp bn</t>
        </is>
      </c>
      <c r="D42" s="2" t="inlineStr">
        <is>
          <t>BSI H1-2026 results (Kontan): +15.98% y/y</t>
        </is>
      </c>
    </row>
    <row r="43">
      <c r="A43" s="5" t="inlineStr">
        <is>
          <t>Third-party funds, 30-Jun-2026</t>
        </is>
      </c>
      <c r="B43" s="15" t="n">
        <v>393000</v>
      </c>
      <c r="C43" s="2" t="inlineStr">
        <is>
          <t>Rp bn</t>
        </is>
      </c>
      <c r="D43" s="2" t="inlineStr">
        <is>
          <t>BSI H1-2026 results (Kontan): +21.81% y/y</t>
        </is>
      </c>
    </row>
    <row r="44">
      <c r="A44" s="5" t="inlineStr">
        <is>
          <t>Current and savings accounts, 30-Jun-2026</t>
        </is>
      </c>
      <c r="B44" s="15" t="n">
        <v>238000</v>
      </c>
      <c r="C44" s="2" t="inlineStr">
        <is>
          <t>Rp bn</t>
        </is>
      </c>
      <c r="D44" s="2" t="inlineStr">
        <is>
          <t>BSI H1-2026 results (Iconomics)</t>
        </is>
      </c>
    </row>
    <row r="45">
      <c r="A45" s="5" t="inlineStr">
        <is>
          <t>Gross non-performing financing</t>
        </is>
      </c>
      <c r="B45" s="20" t="n">
        <v>0.018</v>
      </c>
      <c r="C45" s="2" t="inlineStr">
        <is>
          <t>%</t>
        </is>
      </c>
      <c r="D45" s="2" t="inlineStr">
        <is>
          <t>BSI H1-2026 results (Kontan)</t>
        </is>
      </c>
    </row>
    <row r="46">
      <c r="A46" s="5" t="inlineStr">
        <is>
          <t>Cost of credit, H1-2026</t>
        </is>
      </c>
      <c r="B46" s="17" t="n">
        <v>0.0062</v>
      </c>
      <c r="C46" s="2" t="inlineStr">
        <is>
          <t>%</t>
        </is>
      </c>
      <c r="D46" s="2" t="inlineStr">
        <is>
          <t>BSI H1-2026 results (Kontan)</t>
        </is>
      </c>
    </row>
    <row r="48">
      <c r="A48" s="11" t="inlineStr">
        <is>
          <t>Capital guidance (disclosure, page 3)</t>
        </is>
      </c>
    </row>
    <row r="49">
      <c r="A49" s="5" t="inlineStr">
        <is>
          <t>Capital supporting the business, 2026</t>
        </is>
      </c>
      <c r="B49" s="15" t="n">
        <v>51070</v>
      </c>
      <c r="C49" s="2" t="inlineStr">
        <is>
          <t>Rp bn</t>
        </is>
      </c>
      <c r="D49" s="2" t="inlineStr">
        <is>
          <t>BSI Keterbukaan Informasi PMHMETD II, 30-Sep-2026: "Rp51,07 triliun di tahun 2026"</t>
        </is>
      </c>
    </row>
    <row r="50">
      <c r="A50" s="5" t="inlineStr">
        <is>
          <t>Capital supporting the business, 2027</t>
        </is>
      </c>
      <c r="B50" s="15" t="n">
        <v>64410</v>
      </c>
      <c r="C50" s="2" t="inlineStr">
        <is>
          <t>Rp bn</t>
        </is>
      </c>
      <c r="D50" s="2" t="inlineStr">
        <is>
          <t>BSI Keterbukaan Informasi PMHMETD II, 30-Sep-2026: "menjadi Rp64,41 triliun di tahun 2027"</t>
        </is>
      </c>
    </row>
    <row r="51">
      <c r="A51" s="5" t="inlineStr">
        <is>
          <t>CAR, 2026</t>
        </is>
      </c>
      <c r="B51" s="17" t="n">
        <v>0.2038</v>
      </c>
      <c r="C51" s="2" t="inlineStr">
        <is>
          <t>%</t>
        </is>
      </c>
      <c r="D51" s="2" t="inlineStr">
        <is>
          <t>BSI Keterbukaan Informasi PMHMETD II, 30-Sep-2026: "CAR diproyeksikan meningkat dari 20,38%"</t>
        </is>
      </c>
    </row>
    <row r="52">
      <c r="A52" s="5" t="inlineStr">
        <is>
          <t>CAR, 2027</t>
        </is>
      </c>
      <c r="B52" s="17" t="n">
        <v>0.2331</v>
      </c>
      <c r="C52" s="2" t="inlineStr">
        <is>
          <t>%</t>
        </is>
      </c>
      <c r="D52" s="2" t="inlineStr">
        <is>
          <t>BSI Keterbukaan Informasi PMHMETD II, 30-Sep-2026: "menjadi 23,31%"</t>
        </is>
      </c>
    </row>
    <row r="53">
      <c r="A53" s="5" t="inlineStr">
        <is>
          <t>KBMI 4 entry: core capital above</t>
        </is>
      </c>
      <c r="B53" s="15" t="n">
        <v>70000</v>
      </c>
      <c r="C53" s="2" t="inlineStr">
        <is>
          <t>Rp bn</t>
        </is>
      </c>
      <c r="D53" s="2" t="inlineStr">
        <is>
          <t>POJK 12/POJK.03/2021 bank groups by core capital; the disclosure cites moving up a KBMI group</t>
        </is>
      </c>
    </row>
    <row r="55">
      <c r="A55" s="11" t="inlineStr">
        <is>
          <t>Forecasts and valuation assumptions</t>
        </is>
      </c>
    </row>
    <row r="56">
      <c r="A56" s="5" t="inlineStr">
        <is>
          <t>Net profit forecast, 2026F</t>
        </is>
      </c>
      <c r="B56" s="18" t="n">
        <v>8650</v>
      </c>
      <c r="C56" s="2" t="inlineStr">
        <is>
          <t>Rp bn</t>
        </is>
      </c>
      <c r="D56" s="2" t="inlineStr">
        <is>
          <t>Broker forecast reported by KabarBursa ("NIM BSI turun 31 bp di 2Q26"); replace with your own</t>
        </is>
      </c>
    </row>
    <row r="57">
      <c r="A57" s="5" t="inlineStr">
        <is>
          <t>Net profit forecast, 2027F</t>
        </is>
      </c>
      <c r="B57" s="18" t="n">
        <v>10020</v>
      </c>
      <c r="C57" s="2" t="inlineStr">
        <is>
          <t>Rp bn</t>
        </is>
      </c>
      <c r="D57" s="2" t="inlineStr">
        <is>
          <t>Same source</t>
        </is>
      </c>
    </row>
    <row r="58">
      <c r="A58" s="5" t="inlineStr">
        <is>
          <t>Net profit forecast, 2028F</t>
        </is>
      </c>
      <c r="B58" s="18" t="n">
        <v>11550</v>
      </c>
      <c r="C58" s="2" t="inlineStr">
        <is>
          <t>Rp bn</t>
        </is>
      </c>
      <c r="D58" s="2" t="inlineStr">
        <is>
          <t>Same source</t>
        </is>
      </c>
    </row>
    <row r="59">
      <c r="A59" s="5" t="inlineStr">
        <is>
          <t>Dividend payout on prior-year profit</t>
        </is>
      </c>
      <c r="B59" s="19" t="n">
        <v>0.2</v>
      </c>
      <c r="C59" s="2" t="inlineStr">
        <is>
          <t>%</t>
        </is>
      </c>
      <c r="D59" s="2" t="inlineStr">
        <is>
          <t>FY2024 15%, FY2025 20%. BSI says it awaits direction from Danantara</t>
        </is>
      </c>
    </row>
    <row r="60">
      <c r="A60" s="5" t="inlineStr">
        <is>
          <t>After-tax return on proceeds not yet lent</t>
        </is>
      </c>
      <c r="B60" s="19" t="n">
        <v>0.047</v>
      </c>
      <c r="C60" s="2" t="inlineStr">
        <is>
          <t>%</t>
        </is>
      </c>
      <c r="D60" s="2" t="inlineStr">
        <is>
          <t>About 6.0% on placements and sukuk, less 22% tax</t>
        </is>
      </c>
    </row>
    <row r="61">
      <c r="A61" s="5" t="inlineStr">
        <is>
          <t>After-tax return on proceeds once lent (2028)</t>
        </is>
      </c>
      <c r="B61" s="19" t="n">
        <v>0.1</v>
      </c>
      <c r="C61" s="2" t="inlineStr">
        <is>
          <t>%</t>
        </is>
      </c>
      <c r="D61" s="2" t="inlineStr">
        <is>
          <t>Assumption; group ROE is about 16%</t>
        </is>
      </c>
    </row>
    <row r="62">
      <c r="A62" s="5" t="inlineStr">
        <is>
          <t>Share of 2027 the proceeds are held</t>
        </is>
      </c>
      <c r="B62" s="19" t="n">
        <v>0.75</v>
      </c>
      <c r="C62" s="2" t="inlineStr">
        <is>
          <t>%</t>
        </is>
      </c>
      <c r="D62" s="2" t="inlineStr">
        <is>
          <t>Deal targeted to complete in Q1-2027</t>
        </is>
      </c>
    </row>
    <row r="63">
      <c r="A63" s="5" t="inlineStr">
        <is>
          <t>Cost of equity</t>
        </is>
      </c>
      <c r="B63" s="19" t="n">
        <v>0.135</v>
      </c>
      <c r="C63" s="2" t="inlineStr">
        <is>
          <t>%</t>
        </is>
      </c>
      <c r="D63" s="2" t="inlineStr">
        <is>
          <t>Assumption: ~6.5% 10-year government yield plus ~7% equity premium</t>
        </is>
      </c>
    </row>
    <row r="64">
      <c r="A64" s="5" t="inlineStr">
        <is>
          <t>Long-run growth</t>
        </is>
      </c>
      <c r="B64" s="19" t="n">
        <v>0.07000000000000001</v>
      </c>
      <c r="C64" s="2" t="inlineStr">
        <is>
          <t>%</t>
        </is>
      </c>
      <c r="D64" s="2" t="inlineStr">
        <is>
          <t>Assumption: nominal GDP proxy</t>
        </is>
      </c>
    </row>
    <row r="66">
      <c r="A66" s="11" t="inlineStr">
        <is>
          <t>Derived (formulas)</t>
        </is>
      </c>
    </row>
    <row r="67">
      <c r="A67" s="5" t="inlineStr">
        <is>
          <t>Book value per share, 30-Jun-2026</t>
        </is>
      </c>
      <c r="B67" s="21">
        <f>eq_jun26*1E9/sh_out</f>
        <v>1106.4695346794465</v>
      </c>
      <c r="C67" s="2" t="inlineStr">
        <is>
          <t>Rp</t>
        </is>
      </c>
      <c r="D67" s="2" t="inlineStr"/>
    </row>
    <row r="68">
      <c r="A68" s="5" t="inlineStr">
        <is>
          <t>Earnings per share, 12 months to Jun-2026</t>
        </is>
      </c>
      <c r="B68" s="21">
        <f>ni_ttm*1E9/sh_out</f>
        <v>173.03559554437007</v>
      </c>
      <c r="C68" s="2" t="inlineStr">
        <is>
          <t>Rp</t>
        </is>
      </c>
      <c r="D68" s="2" t="inlineStr"/>
    </row>
    <row r="69">
      <c r="A69" s="5" t="inlineStr">
        <is>
          <t>Price / book</t>
        </is>
      </c>
      <c r="B69" s="22">
        <f>px_last/bvps_now</f>
        <v>1.2833611369258222</v>
      </c>
      <c r="C69" s="2" t="inlineStr">
        <is>
          <t>x</t>
        </is>
      </c>
      <c r="D69" s="2" t="inlineStr"/>
    </row>
    <row r="70">
      <c r="A70" s="5" t="inlineStr">
        <is>
          <t>Price / earnings, trailing</t>
        </is>
      </c>
      <c r="B70" s="22">
        <f>px_last/eps_ttm</f>
        <v>8.206403980248568</v>
      </c>
      <c r="C70" s="2" t="inlineStr">
        <is>
          <t>x</t>
        </is>
      </c>
      <c r="D70" s="2" t="inlineStr"/>
    </row>
    <row r="71">
      <c r="A71" s="5" t="inlineStr">
        <is>
          <t>ROAE, H1-2026 annualised</t>
        </is>
      </c>
      <c r="B71" s="23">
        <f>(ni_q1_26+ni_q2_26)*2/AVERAGE(eq_dec25,eq_jun26)</f>
        <v>0.16139695036079707</v>
      </c>
      <c r="C71" s="2" t="inlineStr">
        <is>
          <t>%</t>
        </is>
      </c>
      <c r="D71" s="2" t="inlineStr">
        <is>
          <t>H1 profit x2 over average of Dec-25 and Jun-26 equity</t>
        </is>
      </c>
    </row>
    <row r="72">
      <c r="A72" s="5" t="inlineStr">
        <is>
          <t>Market value</t>
        </is>
      </c>
      <c r="B72" s="24">
        <f>px_last*sh_out/1E9</f>
        <v>65503.54939596</v>
      </c>
      <c r="C72" s="2" t="inlineStr">
        <is>
          <t>Rp bn</t>
        </is>
      </c>
      <c r="D72" s="2" t="inlineStr"/>
    </row>
    <row r="73">
      <c r="A73" s="5" t="inlineStr">
        <is>
          <t>Change on 30-Sep-2026</t>
        </is>
      </c>
      <c r="B73" s="23">
        <f>px_last/px_prev-1</f>
        <v>-0.06270627062706269</v>
      </c>
      <c r="C73" s="2" t="inlineStr">
        <is>
          <t>%</t>
        </is>
      </c>
      <c r="D73" s="2" t="inlineStr"/>
    </row>
    <row r="74">
      <c r="A74" s="5" t="inlineStr">
        <is>
          <t>Volume vs 20-day average</t>
        </is>
      </c>
      <c r="B74" s="22">
        <f>vol_last/vol_20d</f>
        <v>2.4505417122492283</v>
      </c>
      <c r="C74" s="2" t="inlineStr">
        <is>
          <t>x</t>
        </is>
      </c>
      <c r="D74" s="2" t="inlineStr"/>
    </row>
    <row r="75">
      <c r="A75" s="5" t="inlineStr">
        <is>
          <t>Change from 52-week high</t>
        </is>
      </c>
      <c r="B75" s="23">
        <f>px_last/px_hi52-1</f>
        <v>-0.47211895910780666</v>
      </c>
      <c r="C75" s="2" t="inlineStr">
        <is>
          <t>%</t>
        </is>
      </c>
      <c r="D75" s="2" t="inlineStr"/>
    </row>
    <row r="76">
      <c r="A76" s="5" t="inlineStr">
        <is>
          <t>Free float from KSEI share counts</t>
        </is>
      </c>
      <c r="B76" s="25">
        <f>(sh_out-sh_mandiri-sh_bni-sh_bri)/sh_out</f>
        <v>0.09919213131343287</v>
      </c>
      <c r="C76" s="2" t="inlineStr">
        <is>
          <t>%</t>
        </is>
      </c>
      <c r="D76" s="2" t="inlineStr">
        <is>
          <t>Shares outside Mandiri, BNI and BRI</t>
        </is>
      </c>
    </row>
    <row r="77">
      <c r="A77" s="5" t="inlineStr">
        <is>
          <t>Financing to deposit ratio</t>
        </is>
      </c>
      <c r="B77" s="23">
        <f>fin_jun26/dep_jun26</f>
        <v>0.8651399491094147</v>
      </c>
      <c r="C77" s="2" t="inlineStr">
        <is>
          <t>%</t>
        </is>
      </c>
      <c r="D77" s="2" t="inlineStr"/>
    </row>
    <row r="78">
      <c r="A78" s="5" t="inlineStr">
        <is>
          <t>CASA ratio</t>
        </is>
      </c>
      <c r="B78" s="23">
        <f>casa_jun26/dep_jun26</f>
        <v>0.6055979643765903</v>
      </c>
      <c r="C78" s="2" t="inlineStr">
        <is>
          <t>%</t>
        </is>
      </c>
      <c r="D78" s="2" t="inlineStr"/>
    </row>
    <row r="79">
      <c r="A79" s="5" t="inlineStr">
        <is>
          <t>New shares issued (base case)</t>
        </is>
      </c>
      <c r="B79" s="24">
        <f>ri_max*ri_take</f>
        <v>6800000000.0</v>
      </c>
      <c r="C79" s="2" t="inlineStr">
        <is>
          <t>shares</t>
        </is>
      </c>
      <c r="D79" s="2" t="inlineStr"/>
    </row>
    <row r="80">
      <c r="A80" s="5" t="inlineStr">
        <is>
          <t>Dilution check at the maximum</t>
        </is>
      </c>
      <c r="B80" s="25">
        <f>ri_max/(sh_out+ri_max)</f>
        <v>0.12847336203586968</v>
      </c>
      <c r="C80" s="2" t="inlineStr">
        <is>
          <t>%</t>
        </is>
      </c>
      <c r="D80" s="2" t="inlineStr">
        <is>
          <t>Matches the disclosed 12.85%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Rights issue mechanics</t>
        </is>
      </c>
    </row>
    <row r="2">
      <c r="A2" s="2" t="inlineStr">
        <is>
          <t>Each column is one exercise price. Column I follows the base case on Inputs. TERP = theoretical ex-rights price. Pro forma book value adds net proceeds to 30-Jun-2026 equity.</t>
        </is>
      </c>
    </row>
    <row r="4">
      <c r="A4" s="3" t="inlineStr"/>
      <c r="B4" s="4" t="inlineStr">
        <is>
          <t>Unit</t>
        </is>
      </c>
      <c r="C4" s="4" t="inlineStr"/>
      <c r="D4" s="4" t="inlineStr"/>
      <c r="E4" s="4" t="inlineStr"/>
      <c r="F4" s="4" t="inlineStr"/>
      <c r="G4" s="4" t="inlineStr"/>
      <c r="H4" s="4" t="inlineStr"/>
      <c r="I4" s="4" t="inlineStr">
        <is>
          <t>Base case</t>
        </is>
      </c>
    </row>
    <row r="5">
      <c r="A5" s="26" t="inlineStr">
        <is>
          <t>Exercise price</t>
        </is>
      </c>
      <c r="B5" s="2" t="inlineStr">
        <is>
          <t>Rp</t>
        </is>
      </c>
      <c r="C5" s="27" t="n">
        <v>900</v>
      </c>
      <c r="D5" s="27" t="n">
        <v>1000</v>
      </c>
      <c r="E5" s="27" t="n">
        <v>1100</v>
      </c>
      <c r="F5" s="27" t="n">
        <v>1200</v>
      </c>
      <c r="G5" s="27" t="n">
        <v>1300</v>
      </c>
      <c r="H5" s="27" t="n">
        <v>1400</v>
      </c>
      <c r="I5" s="6">
        <f>ri_px</f>
        <v>1100.0</v>
      </c>
    </row>
    <row r="6">
      <c r="A6" s="5" t="inlineStr">
        <is>
          <t>Discount to last close</t>
        </is>
      </c>
      <c r="B6" s="2" t="inlineStr">
        <is>
          <t>%</t>
        </is>
      </c>
      <c r="C6" s="28">
        <f>1-C5/px_last</f>
        <v>0.3661971830985915</v>
      </c>
      <c r="D6" s="28">
        <f>1-D5/px_last</f>
        <v>0.295774647887324</v>
      </c>
      <c r="E6" s="28">
        <f>1-E5/px_last</f>
        <v>0.22535211267605637</v>
      </c>
      <c r="F6" s="28">
        <f>1-F5/px_last</f>
        <v>0.15492957746478875</v>
      </c>
      <c r="G6" s="28">
        <f>1-G5/px_last</f>
        <v>0.08450704225352113</v>
      </c>
      <c r="H6" s="28">
        <f>1-H5/px_last</f>
        <v>0.014084507042253502</v>
      </c>
      <c r="I6" s="28">
        <f>1-I5/px_last</f>
        <v>0.22535211267605637</v>
      </c>
    </row>
    <row r="7">
      <c r="A7" s="5" t="inlineStr">
        <is>
          <t>New shares issued</t>
        </is>
      </c>
      <c r="B7" s="2" t="inlineStr">
        <is>
          <t>m</t>
        </is>
      </c>
      <c r="C7" s="29">
        <f>ri_new/1E6</f>
        <v>6800.0</v>
      </c>
      <c r="D7" s="29">
        <f>ri_new/1E6</f>
        <v>6800.0</v>
      </c>
      <c r="E7" s="29">
        <f>ri_new/1E6</f>
        <v>6800.0</v>
      </c>
      <c r="F7" s="29">
        <f>ri_new/1E6</f>
        <v>6800.0</v>
      </c>
      <c r="G7" s="29">
        <f>ri_new/1E6</f>
        <v>6800.0</v>
      </c>
      <c r="H7" s="29">
        <f>ri_new/1E6</f>
        <v>6800.0</v>
      </c>
      <c r="I7" s="29">
        <f>ri_new/1E6</f>
        <v>6800.0</v>
      </c>
    </row>
    <row r="8">
      <c r="A8" s="5" t="inlineStr">
        <is>
          <t>New shares per 100 existing</t>
        </is>
      </c>
      <c r="B8" s="2" t="inlineStr">
        <is>
          <t>shares</t>
        </is>
      </c>
      <c r="C8" s="30">
        <f>C7*1E6/sh_out*100</f>
        <v>14.741185918996235</v>
      </c>
      <c r="D8" s="30">
        <f>D7*1E6/sh_out*100</f>
        <v>14.741185918996235</v>
      </c>
      <c r="E8" s="30">
        <f>E7*1E6/sh_out*100</f>
        <v>14.741185918996235</v>
      </c>
      <c r="F8" s="30">
        <f>F7*1E6/sh_out*100</f>
        <v>14.741185918996235</v>
      </c>
      <c r="G8" s="30">
        <f>G7*1E6/sh_out*100</f>
        <v>14.741185918996235</v>
      </c>
      <c r="H8" s="30">
        <f>H7*1E6/sh_out*100</f>
        <v>14.741185918996235</v>
      </c>
      <c r="I8" s="30">
        <f>I7*1E6/sh_out*100</f>
        <v>14.741185918996235</v>
      </c>
    </row>
    <row r="9">
      <c r="A9" s="5" t="inlineStr">
        <is>
          <t>Existing shares per new share</t>
        </is>
      </c>
      <c r="B9" s="2" t="inlineStr">
        <is>
          <t>shares</t>
        </is>
      </c>
      <c r="C9" s="30">
        <f>sh_out/(C7*1E6)</f>
        <v>6.783714726176471</v>
      </c>
      <c r="D9" s="30">
        <f>sh_out/(D7*1E6)</f>
        <v>6.783714726176471</v>
      </c>
      <c r="E9" s="30">
        <f>sh_out/(E7*1E6)</f>
        <v>6.783714726176471</v>
      </c>
      <c r="F9" s="30">
        <f>sh_out/(F7*1E6)</f>
        <v>6.783714726176471</v>
      </c>
      <c r="G9" s="30">
        <f>sh_out/(G7*1E6)</f>
        <v>6.783714726176471</v>
      </c>
      <c r="H9" s="30">
        <f>sh_out/(H7*1E6)</f>
        <v>6.783714726176471</v>
      </c>
      <c r="I9" s="30">
        <f>sh_out/(I7*1E6)</f>
        <v>6.783714726176471</v>
      </c>
    </row>
    <row r="10">
      <c r="A10" s="5" t="inlineStr">
        <is>
          <t>TERP</t>
        </is>
      </c>
      <c r="B10" s="2" t="inlineStr">
        <is>
          <t>Rp</t>
        </is>
      </c>
      <c r="C10" s="31">
        <f>(sh_out*px_last+C7*1E6*C5)/(sh_out+C7*1E6)</f>
        <v>1353.1938517413478</v>
      </c>
      <c r="D10" s="31">
        <f>(sh_out*px_last+D7*1E6*D5)/(sh_out+D7*1E6)</f>
        <v>1366.0411879449348</v>
      </c>
      <c r="E10" s="31">
        <f>(sh_out*px_last+E7*1E6*E5)/(sh_out+E7*1E6)</f>
        <v>1378.8885241485218</v>
      </c>
      <c r="F10" s="31">
        <f>(sh_out*px_last+F7*1E6*F5)/(sh_out+F7*1E6)</f>
        <v>1391.7358603521086</v>
      </c>
      <c r="G10" s="31">
        <f>(sh_out*px_last+G7*1E6*G5)/(sh_out+G7*1E6)</f>
        <v>1404.5831965556956</v>
      </c>
      <c r="H10" s="31">
        <f>(sh_out*px_last+H7*1E6*H5)/(sh_out+H7*1E6)</f>
        <v>1417.4305327592826</v>
      </c>
      <c r="I10" s="31">
        <f>(sh_out*px_last+I7*1E6*I5)/(sh_out+I7*1E6)</f>
        <v>1378.8885241485218</v>
      </c>
    </row>
    <row r="11">
      <c r="A11" s="5" t="inlineStr">
        <is>
          <t>Discount to TERP</t>
        </is>
      </c>
      <c r="B11" s="2" t="inlineStr">
        <is>
          <t>%</t>
        </is>
      </c>
      <c r="C11" s="28">
        <f>1-C5/C10</f>
        <v>0.3349068214861888</v>
      </c>
      <c r="D11" s="28">
        <f>1-D5/D10</f>
        <v>0.2679576510395014</v>
      </c>
      <c r="E11" s="28">
        <f>1-E5/E10</f>
        <v>0.20225603394642677</v>
      </c>
      <c r="F11" s="28">
        <f>1-F5/F10</f>
        <v>0.13776742111365836</v>
      </c>
      <c r="G11" s="28">
        <f>1-G5/G10</f>
        <v>0.07445852749210835</v>
      </c>
      <c r="H11" s="28">
        <f>1-H5/H10</f>
        <v>0.012297274791556068</v>
      </c>
      <c r="I11" s="28">
        <f>1-I5/I10</f>
        <v>0.20225603394642677</v>
      </c>
    </row>
    <row r="12">
      <c r="A12" s="5" t="inlineStr">
        <is>
          <t>Theoretical value of one right</t>
        </is>
      </c>
      <c r="B12" s="2" t="inlineStr">
        <is>
          <t>Rp</t>
        </is>
      </c>
      <c r="C12" s="31">
        <f>C10-C5</f>
        <v>453.19385174134777</v>
      </c>
      <c r="D12" s="31">
        <f>D10-D5</f>
        <v>366.0411879449348</v>
      </c>
      <c r="E12" s="31">
        <f>E10-E5</f>
        <v>278.8885241485218</v>
      </c>
      <c r="F12" s="31">
        <f>F10-F5</f>
        <v>191.7358603521086</v>
      </c>
      <c r="G12" s="31">
        <f>G10-G5</f>
        <v>104.58319655569562</v>
      </c>
      <c r="H12" s="31">
        <f>H10-H5</f>
        <v>17.43053275928264</v>
      </c>
      <c r="I12" s="31">
        <f>I10-I5</f>
        <v>278.8885241485218</v>
      </c>
    </row>
    <row r="13">
      <c r="A13" s="5" t="inlineStr">
        <is>
          <t>Gross proceeds</t>
        </is>
      </c>
      <c r="B13" s="2" t="inlineStr">
        <is>
          <t>Rp bn</t>
        </is>
      </c>
      <c r="C13" s="29">
        <f>C7*1E6*C5/1E9</f>
        <v>6120.0</v>
      </c>
      <c r="D13" s="29">
        <f>D7*1E6*D5/1E9</f>
        <v>6800.0</v>
      </c>
      <c r="E13" s="29">
        <f>E7*1E6*E5/1E9</f>
        <v>7480.0</v>
      </c>
      <c r="F13" s="29">
        <f>F7*1E6*F5/1E9</f>
        <v>8160.0</v>
      </c>
      <c r="G13" s="29">
        <f>G7*1E6*G5/1E9</f>
        <v>8840.0</v>
      </c>
      <c r="H13" s="29">
        <f>H7*1E6*H5/1E9</f>
        <v>9520.0</v>
      </c>
      <c r="I13" s="29">
        <f>I7*1E6*I5/1E9</f>
        <v>7480.0</v>
      </c>
    </row>
    <row r="14">
      <c r="A14" s="5" t="inlineStr">
        <is>
          <t>Net proceeds</t>
        </is>
      </c>
      <c r="B14" s="2" t="inlineStr">
        <is>
          <t>Rp bn</t>
        </is>
      </c>
      <c r="C14" s="29">
        <f>C13*(1-ri_cost)</f>
        <v>6058.8</v>
      </c>
      <c r="D14" s="29">
        <f>D13*(1-ri_cost)</f>
        <v>6732.0</v>
      </c>
      <c r="E14" s="29">
        <f>E13*(1-ri_cost)</f>
        <v>7405.2</v>
      </c>
      <c r="F14" s="29">
        <f>F13*(1-ri_cost)</f>
        <v>8078.4</v>
      </c>
      <c r="G14" s="29">
        <f>G13*(1-ri_cost)</f>
        <v>8751.6</v>
      </c>
      <c r="H14" s="29">
        <f>H13*(1-ri_cost)</f>
        <v>9424.8</v>
      </c>
      <c r="I14" s="29">
        <f>I13*(1-ri_cost)</f>
        <v>7405.2</v>
      </c>
    </row>
    <row r="15">
      <c r="A15" s="5" t="inlineStr">
        <is>
          <t>Dilution if a holder does not subscribe</t>
        </is>
      </c>
      <c r="B15" s="2" t="inlineStr">
        <is>
          <t>%</t>
        </is>
      </c>
      <c r="C15" s="32">
        <f>C7*1E6/(sh_out+C7*1E6)</f>
        <v>0.12847336203586968</v>
      </c>
      <c r="D15" s="32">
        <f>D7*1E6/(sh_out+D7*1E6)</f>
        <v>0.12847336203586968</v>
      </c>
      <c r="E15" s="32">
        <f>E7*1E6/(sh_out+E7*1E6)</f>
        <v>0.12847336203586968</v>
      </c>
      <c r="F15" s="32">
        <f>F7*1E6/(sh_out+F7*1E6)</f>
        <v>0.12847336203586968</v>
      </c>
      <c r="G15" s="32">
        <f>G7*1E6/(sh_out+G7*1E6)</f>
        <v>0.12847336203586968</v>
      </c>
      <c r="H15" s="32">
        <f>H7*1E6/(sh_out+H7*1E6)</f>
        <v>0.12847336203586968</v>
      </c>
      <c r="I15" s="32">
        <f>I7*1E6/(sh_out+I7*1E6)</f>
        <v>0.12847336203586968</v>
      </c>
    </row>
    <row r="16">
      <c r="A16" s="5" t="inlineStr">
        <is>
          <t>Pro forma book value per share (Jun-26)</t>
        </is>
      </c>
      <c r="B16" s="2" t="inlineStr">
        <is>
          <t>Rp</t>
        </is>
      </c>
      <c r="C16" s="31">
        <f>(eq_jun26+C14)*1E9/(sh_out+C7*1E6)</f>
        <v>1078.7874391428736</v>
      </c>
      <c r="D16" s="31">
        <f>(eq_jun26+D14)*1E9/(sh_out+D7*1E6)</f>
        <v>1091.5063019844247</v>
      </c>
      <c r="E16" s="31">
        <f>(eq_jun26+E14)*1E9/(sh_out+E7*1E6)</f>
        <v>1104.2251648259758</v>
      </c>
      <c r="F16" s="31">
        <f>(eq_jun26+F14)*1E9/(sh_out+F7*1E6)</f>
        <v>1116.9440276675268</v>
      </c>
      <c r="G16" s="31">
        <f>(eq_jun26+G14)*1E9/(sh_out+G7*1E6)</f>
        <v>1129.662890509078</v>
      </c>
      <c r="H16" s="31">
        <f>(eq_jun26+H14)*1E9/(sh_out+H7*1E6)</f>
        <v>1142.3817533506292</v>
      </c>
      <c r="I16" s="31">
        <f>(eq_jun26+I14)*1E9/(sh_out+I7*1E6)</f>
        <v>1104.2251648259758</v>
      </c>
    </row>
    <row r="17">
      <c r="A17" s="5" t="inlineStr">
        <is>
          <t>Book value per share change</t>
        </is>
      </c>
      <c r="B17" s="2" t="inlineStr">
        <is>
          <t>%</t>
        </is>
      </c>
      <c r="C17" s="28">
        <f>C16/bvps_now-1</f>
        <v>-0.02501839831007424</v>
      </c>
      <c r="D17" s="28">
        <f>D16/bvps_now-1</f>
        <v>-0.01352340234054139</v>
      </c>
      <c r="E17" s="28">
        <f>E16/bvps_now-1</f>
        <v>-0.002028406371008651</v>
      </c>
      <c r="F17" s="28">
        <f>F16/bvps_now-1</f>
        <v>0.0094665895985242</v>
      </c>
      <c r="G17" s="28">
        <f>G16/bvps_now-1</f>
        <v>0.02096158556805694</v>
      </c>
      <c r="H17" s="28">
        <f>H16/bvps_now-1</f>
        <v>0.0324565815375899</v>
      </c>
      <c r="I17" s="28">
        <f>I16/bvps_now-1</f>
        <v>-0.002028406371008651</v>
      </c>
    </row>
    <row r="18">
      <c r="A18" s="5" t="inlineStr">
        <is>
          <t>P/B at TERP on pro forma book</t>
        </is>
      </c>
      <c r="B18" s="2" t="inlineStr">
        <is>
          <t>x</t>
        </is>
      </c>
      <c r="C18" s="33">
        <f>C10/C16</f>
        <v>1.2543655984875923</v>
      </c>
      <c r="D18" s="33">
        <f>D10/D16</f>
        <v>1.2515192862023692</v>
      </c>
      <c r="E18" s="33">
        <f>E10/E16</f>
        <v>1.2487385436156335</v>
      </c>
      <c r="F18" s="33">
        <f>F10/F16</f>
        <v>1.246021130761959</v>
      </c>
      <c r="G18" s="33">
        <f>G10/G16</f>
        <v>1.2433649085549106</v>
      </c>
      <c r="H18" s="33">
        <f>H10/H16</f>
        <v>1.240767833171293</v>
      </c>
      <c r="I18" s="33">
        <f>I10/I16</f>
        <v>1.2487385436156335</v>
      </c>
    </row>
    <row r="19">
      <c r="A19" s="5" t="inlineStr">
        <is>
          <t>EPS dilution before any return on proceeds</t>
        </is>
      </c>
      <c r="B19" s="2" t="inlineStr">
        <is>
          <t>%</t>
        </is>
      </c>
      <c r="C19" s="28">
        <f>sh_out/(sh_out+C7*1E6)-1</f>
        <v>-0.12847336203586968</v>
      </c>
      <c r="D19" s="28">
        <f>sh_out/(sh_out+D7*1E6)-1</f>
        <v>-0.12847336203586968</v>
      </c>
      <c r="E19" s="28">
        <f>sh_out/(sh_out+E7*1E6)-1</f>
        <v>-0.12847336203586968</v>
      </c>
      <c r="F19" s="28">
        <f>sh_out/(sh_out+F7*1E6)-1</f>
        <v>-0.12847336203586968</v>
      </c>
      <c r="G19" s="28">
        <f>sh_out/(sh_out+G7*1E6)-1</f>
        <v>-0.12847336203586968</v>
      </c>
      <c r="H19" s="28">
        <f>sh_out/(sh_out+H7*1E6)-1</f>
        <v>-0.12847336203586968</v>
      </c>
      <c r="I19" s="28">
        <f>sh_out/(sh_out+I7*1E6)-1</f>
        <v>-0.12847336203586968</v>
      </c>
    </row>
    <row r="20">
      <c r="A20" s="5" t="inlineStr">
        <is>
          <t>Equity / assets, pro forma (Jun-26)</t>
        </is>
      </c>
      <c r="B20" s="2" t="inlineStr">
        <is>
          <t>%</t>
        </is>
      </c>
      <c r="C20" s="28">
        <f>(eq_jun26+C14)/(assets_jun26+C14)</f>
        <v>0.12134183877553564</v>
      </c>
      <c r="D20" s="28">
        <f>(eq_jun26+D14)/(assets_jun26+D14)</f>
        <v>0.12259706515431971</v>
      </c>
      <c r="E20" s="28">
        <f>(eq_jun26+E14)/(assets_jun26+E14)</f>
        <v>0.12384871028684888</v>
      </c>
      <c r="F20" s="28">
        <f>(eq_jun26+F14)/(assets_jun26+F14)</f>
        <v>0.1250967894775996</v>
      </c>
      <c r="G20" s="28">
        <f>(eq_jun26+G14)/(assets_jun26+G14)</f>
        <v>0.12634131794396739</v>
      </c>
      <c r="H20" s="28">
        <f>(eq_jun26+H14)/(assets_jun26+H14)</f>
        <v>0.12758231081688515</v>
      </c>
      <c r="I20" s="28">
        <f>(eq_jun26+I14)/(assets_jun26+I14)</f>
        <v>0.12384871028684888</v>
      </c>
    </row>
    <row r="21">
      <c r="A21" s="5" t="inlineStr">
        <is>
          <t>Day-one CAR on 2026 guidance, RWA unchanged</t>
        </is>
      </c>
      <c r="B21" s="2" t="inlineStr">
        <is>
          <t>%</t>
        </is>
      </c>
      <c r="C21" s="28">
        <f>(cap_2026+C14)/(cap_2026/car_2026)</f>
        <v>0.22797825416095557</v>
      </c>
      <c r="D21" s="28">
        <f>(cap_2026+D14)/(cap_2026/car_2026)</f>
        <v>0.23066472684550618</v>
      </c>
      <c r="E21" s="28">
        <f>(cap_2026+E14)/(cap_2026/car_2026)</f>
        <v>0.23335119953005679</v>
      </c>
      <c r="F21" s="28">
        <f>(cap_2026+F14)/(cap_2026/car_2026)</f>
        <v>0.23603767221460742</v>
      </c>
      <c r="G21" s="28">
        <f>(cap_2026+G14)/(cap_2026/car_2026)</f>
        <v>0.23872414489915803</v>
      </c>
      <c r="H21" s="28">
        <f>(cap_2026+H14)/(cap_2026/car_2026)</f>
        <v>0.24141061758370866</v>
      </c>
      <c r="I21" s="28">
        <f>(cap_2026+I14)/(cap_2026/car_2026)</f>
        <v>0.23335119953005679</v>
      </c>
    </row>
    <row r="22">
      <c r="A22" s="5" t="inlineStr">
        <is>
          <t>Holder of 10,000 shares: rights received</t>
        </is>
      </c>
      <c r="B22" s="2" t="inlineStr">
        <is>
          <t>rights</t>
        </is>
      </c>
      <c r="C22" s="34">
        <f>10000*C7*1E6/sh_out</f>
        <v>1474.1185918996237</v>
      </c>
      <c r="D22" s="34">
        <f>10000*D7*1E6/sh_out</f>
        <v>1474.1185918996237</v>
      </c>
      <c r="E22" s="34">
        <f>10000*E7*1E6/sh_out</f>
        <v>1474.1185918996237</v>
      </c>
      <c r="F22" s="34">
        <f>10000*F7*1E6/sh_out</f>
        <v>1474.1185918996237</v>
      </c>
      <c r="G22" s="34">
        <f>10000*G7*1E6/sh_out</f>
        <v>1474.1185918996237</v>
      </c>
      <c r="H22" s="34">
        <f>10000*H7*1E6/sh_out</f>
        <v>1474.1185918996237</v>
      </c>
      <c r="I22" s="34">
        <f>10000*I7*1E6/sh_out</f>
        <v>1474.1185918996237</v>
      </c>
    </row>
    <row r="23">
      <c r="A23" s="5" t="inlineStr">
        <is>
          <t>Holder of 10,000 shares: cash to subscribe</t>
        </is>
      </c>
      <c r="B23" s="2" t="inlineStr">
        <is>
          <t>Rp</t>
        </is>
      </c>
      <c r="C23" s="29">
        <f>C22*C5</f>
        <v>1326706.7327096614</v>
      </c>
      <c r="D23" s="29">
        <f>D22*D5</f>
        <v>1474118.5918996236</v>
      </c>
      <c r="E23" s="29">
        <f>E22*E5</f>
        <v>1621530.4510895861</v>
      </c>
      <c r="F23" s="29">
        <f>F22*F5</f>
        <v>1768942.3102795484</v>
      </c>
      <c r="G23" s="29">
        <f>G22*G5</f>
        <v>1916354.1694695107</v>
      </c>
      <c r="H23" s="29">
        <f>H22*H5</f>
        <v>2063766.0286594732</v>
      </c>
      <c r="I23" s="29">
        <f>I22*I5</f>
        <v>1621530.4510895861</v>
      </c>
    </row>
    <row r="24">
      <c r="A24" s="5" t="inlineStr">
        <is>
          <t>Holder of 10,000 shares: rights value at TERP</t>
        </is>
      </c>
      <c r="B24" s="2" t="inlineStr">
        <is>
          <t>Rp</t>
        </is>
      </c>
      <c r="C24" s="29">
        <f>C22*C12</f>
        <v>668061.4825865224</v>
      </c>
      <c r="D24" s="29">
        <f>D22*D12</f>
        <v>539588.1205506527</v>
      </c>
      <c r="E24" s="29">
        <f>E22*E12</f>
        <v>411114.75851478317</v>
      </c>
      <c r="F24" s="29">
        <f>F22*F12</f>
        <v>282641.3964789132</v>
      </c>
      <c r="G24" s="29">
        <f>G22*G12</f>
        <v>154168.0344430436</v>
      </c>
      <c r="H24" s="29">
        <f>H22*H12</f>
        <v>25694.672407173988</v>
      </c>
      <c r="I24" s="29">
        <f>I22*I12</f>
        <v>411114.75851478317</v>
      </c>
    </row>
    <row r="27">
      <c r="A27" s="2" t="inlineStr">
        <is>
          <t>Rows 22-24: rights are rounded down to whole lots in practice; the ratio is set in the prospectus.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22" customWidth="1" min="3" max="3"/>
    <col width="22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Free float scenarios</t>
        </is>
      </c>
    </row>
    <row r="2">
      <c r="A2" s="2" t="inlineStr">
        <is>
          <t>Free float = shares outside Mandiri, BNI and BRI, on the 30-Jun-2026 KSEI basis that matches IDX's 9.91%. Rights the parents do not take are assumed to end with investors holding under 5% each.</t>
        </is>
      </c>
    </row>
    <row r="4">
      <c r="A4" s="3" t="inlineStr">
        <is>
          <t>Holder</t>
        </is>
      </c>
      <c r="B4" s="4" t="inlineStr">
        <is>
          <t>Shares before</t>
        </is>
      </c>
      <c r="C4" s="4" t="inlineStr">
        <is>
          <t>Stake</t>
        </is>
      </c>
      <c r="D4" s="4" t="inlineStr">
        <is>
          <t>Rights (new shares)</t>
        </is>
      </c>
    </row>
    <row r="5">
      <c r="A5" s="5" t="inlineStr">
        <is>
          <t>Bank Mandiri</t>
        </is>
      </c>
      <c r="B5" s="35">
        <f>sh_mandiri</f>
        <v>23740608436.0</v>
      </c>
      <c r="C5" s="25">
        <f>B5/sh_out</f>
        <v>0.5146540040958331</v>
      </c>
      <c r="D5" s="24">
        <f>C5*ri_new</f>
        <v>3499647227.851665</v>
      </c>
    </row>
    <row r="6">
      <c r="A6" s="5" t="inlineStr">
        <is>
          <t>BNI</t>
        </is>
      </c>
      <c r="B6" s="35">
        <f>sh_bni</f>
        <v>10720230418.0</v>
      </c>
      <c r="C6" s="25">
        <f>B6/sh_out</f>
        <v>0.23239545542090698</v>
      </c>
      <c r="D6" s="24">
        <f>C6*ri_new</f>
        <v>1580289096.8621674</v>
      </c>
    </row>
    <row r="7">
      <c r="A7" s="5" t="inlineStr">
        <is>
          <t>BRI</t>
        </is>
      </c>
      <c r="B7" s="35">
        <f>sh_bri</f>
        <v>7092761655.0</v>
      </c>
      <c r="C7" s="25">
        <f>B7/sh_out</f>
        <v>0.15375840916982714</v>
      </c>
      <c r="D7" s="24">
        <f>C7*ri_new</f>
        <v>1045557182.3548245</v>
      </c>
    </row>
    <row r="8">
      <c r="A8" s="5" t="inlineStr">
        <is>
          <t>Public (free float)</t>
        </is>
      </c>
      <c r="B8" s="24">
        <f>sh_out-B5-B6-B7</f>
        <v>4575659629.0</v>
      </c>
      <c r="C8" s="25">
        <f>B8/sh_out</f>
        <v>0.09919213131343287</v>
      </c>
      <c r="D8" s="24">
        <f>C8*ri_new</f>
        <v>674506492.9313434</v>
      </c>
    </row>
    <row r="9">
      <c r="A9" s="26" t="inlineStr">
        <is>
          <t>Total</t>
        </is>
      </c>
      <c r="B9" s="36">
        <f>SUM(B5:B8)</f>
        <v>46129260138.0</v>
      </c>
      <c r="C9" s="37">
        <f>SUM(C5:C8)</f>
        <v>1.0000000000000002</v>
      </c>
      <c r="D9" s="36">
        <f>SUM(D5:D8)</f>
        <v>6800000000.0</v>
      </c>
    </row>
    <row r="11">
      <c r="A11" s="3" t="inlineStr">
        <is>
          <t>Scenario</t>
        </is>
      </c>
      <c r="B11" s="4" t="inlineStr"/>
      <c r="C11" s="4" t="inlineStr">
        <is>
          <t>A. Everyone subscribes</t>
        </is>
      </c>
      <c r="D11" s="4" t="inlineStr">
        <is>
          <t>B. 2022 replay</t>
        </is>
      </c>
      <c r="E11" s="4" t="inlineStr">
        <is>
          <t>C. BNI and BRI step aside</t>
        </is>
      </c>
      <c r="F11" s="4" t="inlineStr">
        <is>
          <t>D. Your case</t>
        </is>
      </c>
    </row>
    <row r="12">
      <c r="A12" s="5" t="inlineStr">
        <is>
          <t>Mandiri takes up</t>
        </is>
      </c>
      <c r="B12" s="2" t="inlineStr">
        <is>
          <t>%</t>
        </is>
      </c>
      <c r="C12" s="38" t="n">
        <v>1</v>
      </c>
      <c r="D12" s="38" t="n">
        <v>1</v>
      </c>
      <c r="E12" s="38" t="n">
        <v>1</v>
      </c>
      <c r="F12" s="39" t="n">
        <v>1</v>
      </c>
    </row>
    <row r="13">
      <c r="A13" s="5" t="inlineStr">
        <is>
          <t>BNI takes up</t>
        </is>
      </c>
      <c r="B13" s="2" t="inlineStr">
        <is>
          <t>%</t>
        </is>
      </c>
      <c r="C13" s="38" t="n">
        <v>1</v>
      </c>
      <c r="D13" s="38" t="n">
        <v>0.4</v>
      </c>
      <c r="E13" s="38" t="n">
        <v>0</v>
      </c>
      <c r="F13" s="39" t="n">
        <v>0.5</v>
      </c>
    </row>
    <row r="14">
      <c r="A14" s="5" t="inlineStr">
        <is>
          <t>BRI takes up</t>
        </is>
      </c>
      <c r="B14" s="2" t="inlineStr">
        <is>
          <t>%</t>
        </is>
      </c>
      <c r="C14" s="38" t="n">
        <v>1</v>
      </c>
      <c r="D14" s="38" t="n">
        <v>0</v>
      </c>
      <c r="E14" s="38" t="n">
        <v>0</v>
      </c>
      <c r="F14" s="39" t="n">
        <v>0.5</v>
      </c>
    </row>
    <row r="15">
      <c r="A15" s="5" t="inlineStr">
        <is>
          <t>New shares to Mandiri</t>
        </is>
      </c>
      <c r="B15" s="2" t="inlineStr">
        <is>
          <t>shares</t>
        </is>
      </c>
      <c r="C15" s="29">
        <f>C12*ent_m</f>
        <v>3499647227.851665</v>
      </c>
      <c r="D15" s="29">
        <f>D12*ent_m</f>
        <v>3499647227.851665</v>
      </c>
      <c r="E15" s="29">
        <f>E12*ent_m</f>
        <v>3499647227.851665</v>
      </c>
      <c r="F15" s="29">
        <f>F12*ent_m</f>
        <v>3499647227.851665</v>
      </c>
    </row>
    <row r="16">
      <c r="A16" s="5" t="inlineStr">
        <is>
          <t>New shares to BNI</t>
        </is>
      </c>
      <c r="B16" s="2" t="inlineStr">
        <is>
          <t>shares</t>
        </is>
      </c>
      <c r="C16" s="29">
        <f>C13*ent_bni</f>
        <v>1580289096.8621674</v>
      </c>
      <c r="D16" s="29">
        <f>D13*ent_bni</f>
        <v>632115638.744867</v>
      </c>
      <c r="E16" s="29">
        <f>E13*ent_bni</f>
        <v>0.0</v>
      </c>
      <c r="F16" s="29">
        <f>F13*ent_bni</f>
        <v>790144548.4310837</v>
      </c>
    </row>
    <row r="17">
      <c r="A17" s="5" t="inlineStr">
        <is>
          <t>New shares to BRI</t>
        </is>
      </c>
      <c r="B17" s="2" t="inlineStr">
        <is>
          <t>shares</t>
        </is>
      </c>
      <c r="C17" s="29">
        <f>C14*ent_bri</f>
        <v>1045557182.3548245</v>
      </c>
      <c r="D17" s="29">
        <f>D14*ent_bri</f>
        <v>0.0</v>
      </c>
      <c r="E17" s="29">
        <f>E14*ent_bri</f>
        <v>0.0</v>
      </c>
      <c r="F17" s="29">
        <f>F14*ent_bri</f>
        <v>522778591.1774123</v>
      </c>
    </row>
    <row r="18">
      <c r="A18" s="5" t="inlineStr">
        <is>
          <t>New shares left for other investors</t>
        </is>
      </c>
      <c r="B18" s="2" t="inlineStr">
        <is>
          <t>shares</t>
        </is>
      </c>
      <c r="C18" s="29">
        <f>ri_new-C15-C16-C17</f>
        <v>674506492.9313431</v>
      </c>
      <c r="D18" s="29">
        <f>ri_new-D15-D16-D17</f>
        <v>2668237133.403468</v>
      </c>
      <c r="E18" s="29">
        <f>ri_new-E15-E16-E17</f>
        <v>3300352772.148335</v>
      </c>
      <c r="F18" s="29">
        <f>ri_new-F15-F16-F17</f>
        <v>1987429632.539839</v>
      </c>
    </row>
    <row r="19">
      <c r="A19" s="5" t="inlineStr">
        <is>
          <t xml:space="preserve">  of which the public's own rights</t>
        </is>
      </c>
      <c r="B19" s="2" t="inlineStr">
        <is>
          <t>shares</t>
        </is>
      </c>
      <c r="C19" s="29">
        <f>ent_pub</f>
        <v>674506492.9313434</v>
      </c>
      <c r="D19" s="29">
        <f>ent_pub</f>
        <v>674506492.9313434</v>
      </c>
      <c r="E19" s="29">
        <f>ent_pub</f>
        <v>674506492.9313434</v>
      </c>
      <c r="F19" s="29">
        <f>ent_pub</f>
        <v>674506492.9313434</v>
      </c>
    </row>
    <row r="20">
      <c r="A20" s="5" t="inlineStr">
        <is>
          <t xml:space="preserve">  of which rights the parents leave</t>
        </is>
      </c>
      <c r="B20" s="2" t="inlineStr">
        <is>
          <t>shares</t>
        </is>
      </c>
      <c r="C20" s="29">
        <f>C18-C19</f>
        <v>-3.5762786865234375e-07</v>
      </c>
      <c r="D20" s="29">
        <f>D18-D19</f>
        <v>1993730640.4721246</v>
      </c>
      <c r="E20" s="29">
        <f>E18-E19</f>
        <v>2625846279.2169914</v>
      </c>
      <c r="F20" s="29">
        <f>F18-F19</f>
        <v>1312923139.6084957</v>
      </c>
    </row>
    <row r="21">
      <c r="A21" s="5" t="inlineStr">
        <is>
          <t>Mandiri after</t>
        </is>
      </c>
      <c r="B21" s="2" t="inlineStr">
        <is>
          <t>%</t>
        </is>
      </c>
      <c r="C21" s="32">
        <f>(sh_mandiri+C15)/(sh_out+ri_new)</f>
        <v>0.5146540040958331</v>
      </c>
      <c r="D21" s="32">
        <f>(sh_mandiri+D15)/(sh_out+ri_new)</f>
        <v>0.5146540040958331</v>
      </c>
      <c r="E21" s="32">
        <f>(sh_mandiri+E15)/(sh_out+ri_new)</f>
        <v>0.5146540040958331</v>
      </c>
      <c r="F21" s="32">
        <f>(sh_mandiri+F15)/(sh_out+ri_new)</f>
        <v>0.5146540040958331</v>
      </c>
    </row>
    <row r="22">
      <c r="A22" s="5" t="inlineStr">
        <is>
          <t>BNI after</t>
        </is>
      </c>
      <c r="B22" s="2" t="inlineStr">
        <is>
          <t>%</t>
        </is>
      </c>
      <c r="C22" s="32">
        <f>(sh_bni+C16)/(sh_out+ri_new)</f>
        <v>0.23239545542090698</v>
      </c>
      <c r="D22" s="32">
        <f>(sh_bni+D16)/(sh_out+ri_new)</f>
        <v>0.2144814801330384</v>
      </c>
      <c r="E22" s="32">
        <f>(sh_bni+E16)/(sh_out+ri_new)</f>
        <v>0.202538829941126</v>
      </c>
      <c r="F22" s="32">
        <f>(sh_bni+F16)/(sh_out+ri_new)</f>
        <v>0.21746714268101647</v>
      </c>
    </row>
    <row r="23">
      <c r="A23" s="5" t="inlineStr">
        <is>
          <t>BRI after</t>
        </is>
      </c>
      <c r="B23" s="2" t="inlineStr">
        <is>
          <t>%</t>
        </is>
      </c>
      <c r="C23" s="32">
        <f>(sh_bri+C17)/(sh_out+ri_new)</f>
        <v>0.1537584091698271</v>
      </c>
      <c r="D23" s="32">
        <f>(sh_bri+D17)/(sh_out+ri_new)</f>
        <v>0.13400454940249254</v>
      </c>
      <c r="E23" s="32">
        <f>(sh_bri+E17)/(sh_out+ri_new)</f>
        <v>0.13400454940249254</v>
      </c>
      <c r="F23" s="32">
        <f>(sh_bri+F17)/(sh_out+ri_new)</f>
        <v>0.14388147928615982</v>
      </c>
    </row>
    <row r="24">
      <c r="A24" s="5" t="inlineStr">
        <is>
          <t>Free float after</t>
        </is>
      </c>
      <c r="B24" s="2" t="inlineStr">
        <is>
          <t>%</t>
        </is>
      </c>
      <c r="C24" s="40">
        <f>(pub_pre+C18)/(sh_out+ri_new)</f>
        <v>0.09919213131343285</v>
      </c>
      <c r="D24" s="40">
        <f>(pub_pre+D18)/(sh_out+ri_new)</f>
        <v>0.13685996636863604</v>
      </c>
      <c r="E24" s="40">
        <f>(pub_pre+E18)/(sh_out+ri_new)</f>
        <v>0.14880261656054844</v>
      </c>
      <c r="F24" s="40">
        <f>(pub_pre+F18)/(sh_out+ri_new)</f>
        <v>0.12399737393699065</v>
      </c>
    </row>
    <row r="25">
      <c r="A25" s="5" t="inlineStr">
        <is>
          <t>Meets 12.5% (31-Mar-2027)?</t>
        </is>
      </c>
      <c r="B25" s="2" t="inlineStr"/>
      <c r="C25" s="41" t="str">
        <f>IF(C24&gt;=ff_min1,"Yes","No")</f>
        <v>No</v>
      </c>
      <c r="D25" s="41" t="str">
        <f>IF(D24&gt;=ff_min1,"Yes","No")</f>
        <v>Yes</v>
      </c>
      <c r="E25" s="41" t="str">
        <f>IF(E24&gt;=ff_min1,"Yes","No")</f>
        <v>Yes</v>
      </c>
      <c r="F25" s="41" t="str">
        <f>IF(F24&gt;=ff_min1,"Yes","No")</f>
        <v>No</v>
      </c>
    </row>
    <row r="26">
      <c r="A26" s="5" t="inlineStr">
        <is>
          <t>Meets 15% (31-Mar-2028)?</t>
        </is>
      </c>
      <c r="B26" s="2" t="inlineStr"/>
      <c r="C26" s="41" t="str">
        <f>IF(C24&gt;=ff_min2,"Yes","No")</f>
        <v>No</v>
      </c>
      <c r="D26" s="41" t="str">
        <f>IF(D24&gt;=ff_min2,"Yes","No")</f>
        <v>No</v>
      </c>
      <c r="E26" s="41" t="str">
        <f>IF(E24&gt;=ff_min2,"Yes","No")</f>
        <v>No</v>
      </c>
      <c r="F26" s="41" t="str">
        <f>IF(F24&gt;=ff_min2,"Yes","No")</f>
        <v>No</v>
      </c>
    </row>
    <row r="27">
      <c r="A27" s="5" t="inlineStr">
        <is>
          <t>Cash other investors must put in</t>
        </is>
      </c>
      <c r="B27" s="2" t="inlineStr">
        <is>
          <t>Rp bn</t>
        </is>
      </c>
      <c r="C27" s="29">
        <f>C18*ri_px/1E9</f>
        <v>741.9571422244774</v>
      </c>
      <c r="D27" s="29">
        <f>D18*ri_px/1E9</f>
        <v>2935.060846743815</v>
      </c>
      <c r="E27" s="29">
        <f>E18*ri_px/1E9</f>
        <v>3630.3880493631686</v>
      </c>
      <c r="F27" s="29">
        <f>F18*ri_px/1E9</f>
        <v>2186.172595793823</v>
      </c>
    </row>
    <row r="28">
      <c r="A28" s="5" t="inlineStr">
        <is>
          <t xml:space="preserve">  as a multiple of what the public paid in 2022</t>
        </is>
      </c>
      <c r="B28" s="2" t="inlineStr">
        <is>
          <t>x</t>
        </is>
      </c>
      <c r="C28" s="33">
        <f>C27/pub_cash22</f>
        <v>0.44556642816989217</v>
      </c>
      <c r="D28" s="33">
        <f>D27/pub_cash22</f>
        <v>1.7625877608295601</v>
      </c>
      <c r="E28" s="33">
        <f>E27/pub_cash22</f>
        <v>2.180151580151532</v>
      </c>
      <c r="F28" s="33">
        <f>F27/pub_cash22</f>
        <v>1.312859004160712</v>
      </c>
    </row>
    <row r="29">
      <c r="A29" s="5" t="inlineStr">
        <is>
          <t xml:space="preserve">  in days of 20-day average value traded</t>
        </is>
      </c>
      <c r="B29" s="2" t="inlineStr">
        <is>
          <t>days</t>
        </is>
      </c>
      <c r="C29" s="42">
        <f>C27/adtv_20d</f>
        <v>20.690383218752856</v>
      </c>
      <c r="D29" s="42">
        <f>D27/adtv_20d</f>
        <v>81.84776482832724</v>
      </c>
      <c r="E29" s="42">
        <f>E27/adtv_20d</f>
        <v>101.23781509657469</v>
      </c>
      <c r="F29" s="42">
        <f>F27/adtv_20d</f>
        <v>60.964099157663775</v>
      </c>
    </row>
    <row r="31">
      <c r="A31" s="2" t="inlineStr">
        <is>
          <t>B. 2022 replay: Mandiri took all its rights (and some excess), BNI took 0.5bn of 1.24bn rights (40%), BRI took none.</t>
        </is>
      </c>
    </row>
    <row r="33">
      <c r="A33" s="3" t="inlineStr">
        <is>
          <t>What the floors allow</t>
        </is>
      </c>
      <c r="B33" s="4" t="inlineStr"/>
      <c r="C33" s="4" t="inlineStr">
        <is>
          <t>Value</t>
        </is>
      </c>
    </row>
    <row r="34">
      <c r="A34" s="5" t="inlineStr">
        <is>
          <t>Most new shares the parents can take, 12.5% floor</t>
        </is>
      </c>
      <c r="B34" s="2" t="inlineStr">
        <is>
          <t>shares</t>
        </is>
      </c>
      <c r="C34" s="29">
        <f>ri_new-(ff_min1*(sh_out+ri_new)-pub_pre)</f>
        <v>4759502111.75</v>
      </c>
    </row>
    <row r="35">
      <c r="A35" s="5" t="inlineStr">
        <is>
          <t>Most new shares the parents can take, 15% floor</t>
        </is>
      </c>
      <c r="B35" s="2" t="inlineStr">
        <is>
          <t>shares</t>
        </is>
      </c>
      <c r="C35" s="29">
        <f>ri_new-(ff_min2*(sh_out+ri_new)-pub_pre)</f>
        <v>3436270608.3</v>
      </c>
    </row>
    <row r="36">
      <c r="A36" s="5" t="inlineStr">
        <is>
          <t>Share of BNI+BRI rights they can take if Mandiri takes all, 12.5%</t>
        </is>
      </c>
      <c r="B36" s="2" t="inlineStr">
        <is>
          <t>%</t>
        </is>
      </c>
      <c r="C36" s="28">
        <f>MAX(0,(C34-ent_m)/(ent_bni+ent_bri))</f>
        <v>0.4797900371662329</v>
      </c>
    </row>
    <row r="37">
      <c r="A37" s="5" t="inlineStr">
        <is>
          <t>Share of BNI+BRI rights they can take if Mandiri takes all, 15%</t>
        </is>
      </c>
      <c r="B37" s="2" t="inlineStr">
        <is>
          <t>%</t>
        </is>
      </c>
      <c r="C37" s="28">
        <f>MAX(0,(C35-ent_m)/(ent_bni+ent_bri))</f>
        <v>0.0</v>
      </c>
    </row>
    <row r="38">
      <c r="A38" s="5" t="inlineStr">
        <is>
          <t>Most Mandiri can take if BNI and BRI take none, 15%</t>
        </is>
      </c>
      <c r="B38" s="2" t="inlineStr">
        <is>
          <t>%</t>
        </is>
      </c>
      <c r="C38" s="28">
        <f>MIN(1,C35/ent_m)</f>
        <v>0.981890569127286</v>
      </c>
    </row>
    <row r="39">
      <c r="A39" s="5" t="inlineStr">
        <is>
          <t>Best case free float (all parents' rights go to the public)</t>
        </is>
      </c>
      <c r="B39" s="2" t="inlineStr">
        <is>
          <t>%</t>
        </is>
      </c>
      <c r="C39" s="32">
        <f>(pub_pre+ri_new)/(sh_out+ri_new)</f>
        <v>0.21492194675196236</v>
      </c>
    </row>
    <row r="40">
      <c r="A40" s="5" t="inlineStr">
        <is>
          <t>Scenario C if the 97m shares off BRI's KSEI line are in the float</t>
        </is>
      </c>
      <c r="B40" s="2" t="inlineStr">
        <is>
          <t>%</t>
        </is>
      </c>
      <c r="C40" s="32">
        <f>((sh_out-sh_mandiri-sh_bni-sh_bri_aug)+ri_new-ri_new*sh_mandiri/sh_out)/(sh_out+ri_new)</f>
        <v>0.1506382956300589</v>
      </c>
    </row>
    <row r="42">
      <c r="A42" s="11" t="inlineStr">
        <is>
          <t>Free float after the issue: BNI take-up across, BRI take-up down, Mandiri at</t>
        </is>
      </c>
      <c r="H42" s="39" t="n">
        <v>1</v>
      </c>
    </row>
    <row r="43">
      <c r="B43" s="4" t="inlineStr">
        <is>
          <t>BRI \ BNI</t>
        </is>
      </c>
      <c r="C43" s="43" t="n">
        <v>0</v>
      </c>
      <c r="D43" s="43" t="n">
        <v>0.1</v>
      </c>
      <c r="E43" s="43" t="n">
        <v>0.2</v>
      </c>
      <c r="F43" s="43" t="n">
        <v>0.3</v>
      </c>
      <c r="G43" s="43" t="n">
        <v>0.4</v>
      </c>
      <c r="H43" s="43" t="n">
        <v>0.5</v>
      </c>
      <c r="I43" s="43" t="n">
        <v>0.6</v>
      </c>
      <c r="J43" s="43" t="n">
        <v>0.7</v>
      </c>
      <c r="K43" s="43" t="n">
        <v>0.8</v>
      </c>
      <c r="L43" s="43" t="n">
        <v>0.9</v>
      </c>
      <c r="M43" s="43" t="n">
        <v>1</v>
      </c>
    </row>
    <row r="44">
      <c r="B44" s="43" t="n">
        <v>0</v>
      </c>
      <c r="C44" s="44">
        <f>(pub_pre+ri_new-(grid_m*ent_m+C$43*ent_bni+$B44*ent_bri))/(sh_out+ri_new)</f>
        <v>0.14880261656054844</v>
      </c>
      <c r="D44" s="44">
        <f>(pub_pre+ri_new-(grid_m*ent_m+D$43*ent_bni+$B44*ent_bri))/(sh_out+ri_new)</f>
        <v>0.14581695401257033</v>
      </c>
      <c r="E44" s="44">
        <f>(pub_pre+ri_new-(grid_m*ent_m+E$43*ent_bni+$B44*ent_bri))/(sh_out+ri_new)</f>
        <v>0.14283129146459225</v>
      </c>
      <c r="F44" s="44">
        <f>(pub_pre+ri_new-(grid_m*ent_m+F$43*ent_bni+$B44*ent_bri))/(sh_out+ri_new)</f>
        <v>0.13984562891661415</v>
      </c>
      <c r="G44" s="44">
        <f>(pub_pre+ri_new-(grid_m*ent_m+G$43*ent_bni+$B44*ent_bri))/(sh_out+ri_new)</f>
        <v>0.13685996636863604</v>
      </c>
      <c r="H44" s="44">
        <f>(pub_pre+ri_new-(grid_m*ent_m+H$43*ent_bni+$B44*ent_bri))/(sh_out+ri_new)</f>
        <v>0.13387430382065793</v>
      </c>
      <c r="I44" s="44">
        <f>(pub_pre+ri_new-(grid_m*ent_m+I$43*ent_bni+$B44*ent_bri))/(sh_out+ri_new)</f>
        <v>0.13088864127267982</v>
      </c>
      <c r="J44" s="44">
        <f>(pub_pre+ri_new-(grid_m*ent_m+J$43*ent_bni+$B44*ent_bri))/(sh_out+ri_new)</f>
        <v>0.12790297872470174</v>
      </c>
      <c r="K44" s="44">
        <f>(pub_pre+ri_new-(grid_m*ent_m+K$43*ent_bni+$B44*ent_bri))/(sh_out+ri_new)</f>
        <v>0.12491731617672364</v>
      </c>
      <c r="L44" s="44">
        <f>(pub_pre+ri_new-(grid_m*ent_m+L$43*ent_bni+$B44*ent_bri))/(sh_out+ri_new)</f>
        <v>0.12193165362874554</v>
      </c>
      <c r="M44" s="44">
        <f>(pub_pre+ri_new-(grid_m*ent_m+M$43*ent_bni+$B44*ent_bri))/(sh_out+ri_new)</f>
        <v>0.11894599108076744</v>
      </c>
    </row>
    <row r="45">
      <c r="B45" s="43" t="n">
        <v>0.1</v>
      </c>
      <c r="C45" s="44">
        <f>(pub_pre+ri_new-(grid_m*ent_m+C$43*ent_bni+$B45*ent_bri))/(sh_out+ri_new)</f>
        <v>0.14682723058381497</v>
      </c>
      <c r="D45" s="44">
        <f>(pub_pre+ri_new-(grid_m*ent_m+D$43*ent_bni+$B45*ent_bri))/(sh_out+ri_new)</f>
        <v>0.1438415680358369</v>
      </c>
      <c r="E45" s="44">
        <f>(pub_pre+ri_new-(grid_m*ent_m+E$43*ent_bni+$B45*ent_bri))/(sh_out+ri_new)</f>
        <v>0.14085590548785876</v>
      </c>
      <c r="F45" s="44">
        <f>(pub_pre+ri_new-(grid_m*ent_m+F$43*ent_bni+$B45*ent_bri))/(sh_out+ri_new)</f>
        <v>0.13787024293988068</v>
      </c>
      <c r="G45" s="44">
        <f>(pub_pre+ri_new-(grid_m*ent_m+G$43*ent_bni+$B45*ent_bri))/(sh_out+ri_new)</f>
        <v>0.1348845803919026</v>
      </c>
      <c r="H45" s="44">
        <f>(pub_pre+ri_new-(grid_m*ent_m+H$43*ent_bni+$B45*ent_bri))/(sh_out+ri_new)</f>
        <v>0.13189891784392446</v>
      </c>
      <c r="I45" s="44">
        <f>(pub_pre+ri_new-(grid_m*ent_m+I$43*ent_bni+$B45*ent_bri))/(sh_out+ri_new)</f>
        <v>0.12891325529594638</v>
      </c>
      <c r="J45" s="44">
        <f>(pub_pre+ri_new-(grid_m*ent_m+J$43*ent_bni+$B45*ent_bri))/(sh_out+ri_new)</f>
        <v>0.1259275927479683</v>
      </c>
      <c r="K45" s="44">
        <f>(pub_pre+ri_new-(grid_m*ent_m+K$43*ent_bni+$B45*ent_bri))/(sh_out+ri_new)</f>
        <v>0.12294193019999018</v>
      </c>
      <c r="L45" s="44">
        <f>(pub_pre+ri_new-(grid_m*ent_m+L$43*ent_bni+$B45*ent_bri))/(sh_out+ri_new)</f>
        <v>0.11995626765201209</v>
      </c>
      <c r="M45" s="44">
        <f>(pub_pre+ri_new-(grid_m*ent_m+M$43*ent_bni+$B45*ent_bri))/(sh_out+ri_new)</f>
        <v>0.11697060510403398</v>
      </c>
    </row>
    <row r="46">
      <c r="B46" s="43" t="n">
        <v>0.2</v>
      </c>
      <c r="C46" s="44">
        <f>(pub_pre+ri_new-(grid_m*ent_m+C$43*ent_bni+$B46*ent_bri))/(sh_out+ri_new)</f>
        <v>0.14485184460708153</v>
      </c>
      <c r="D46" s="44">
        <f>(pub_pre+ri_new-(grid_m*ent_m+D$43*ent_bni+$B46*ent_bri))/(sh_out+ri_new)</f>
        <v>0.14186618205910342</v>
      </c>
      <c r="E46" s="44">
        <f>(pub_pre+ri_new-(grid_m*ent_m+E$43*ent_bni+$B46*ent_bri))/(sh_out+ri_new)</f>
        <v>0.13888051951112532</v>
      </c>
      <c r="F46" s="44">
        <f>(pub_pre+ri_new-(grid_m*ent_m+F$43*ent_bni+$B46*ent_bri))/(sh_out+ri_new)</f>
        <v>0.13589485696314724</v>
      </c>
      <c r="G46" s="44">
        <f>(pub_pre+ri_new-(grid_m*ent_m+G$43*ent_bni+$B46*ent_bri))/(sh_out+ri_new)</f>
        <v>0.1329091944151691</v>
      </c>
      <c r="H46" s="44">
        <f>(pub_pre+ri_new-(grid_m*ent_m+H$43*ent_bni+$B46*ent_bri))/(sh_out+ri_new)</f>
        <v>0.12992353186719102</v>
      </c>
      <c r="I46" s="44">
        <f>(pub_pre+ri_new-(grid_m*ent_m+I$43*ent_bni+$B46*ent_bri))/(sh_out+ri_new)</f>
        <v>0.12693786931921291</v>
      </c>
      <c r="J46" s="44">
        <f>(pub_pre+ri_new-(grid_m*ent_m+J$43*ent_bni+$B46*ent_bri))/(sh_out+ri_new)</f>
        <v>0.12395220677123484</v>
      </c>
      <c r="K46" s="44">
        <f>(pub_pre+ri_new-(grid_m*ent_m+K$43*ent_bni+$B46*ent_bri))/(sh_out+ri_new)</f>
        <v>0.12096654422325671</v>
      </c>
      <c r="L46" s="44">
        <f>(pub_pre+ri_new-(grid_m*ent_m+L$43*ent_bni+$B46*ent_bri))/(sh_out+ri_new)</f>
        <v>0.11798088167527862</v>
      </c>
      <c r="M46" s="44">
        <f>(pub_pre+ri_new-(grid_m*ent_m+M$43*ent_bni+$B46*ent_bri))/(sh_out+ri_new)</f>
        <v>0.11499521912730053</v>
      </c>
    </row>
    <row r="47">
      <c r="B47" s="43" t="n">
        <v>0.3</v>
      </c>
      <c r="C47" s="44">
        <f>(pub_pre+ri_new-(grid_m*ent_m+C$43*ent_bni+$B47*ent_bri))/(sh_out+ri_new)</f>
        <v>0.14287645863034806</v>
      </c>
      <c r="D47" s="44">
        <f>(pub_pre+ri_new-(grid_m*ent_m+D$43*ent_bni+$B47*ent_bri))/(sh_out+ri_new)</f>
        <v>0.13989079608236996</v>
      </c>
      <c r="E47" s="44">
        <f>(pub_pre+ri_new-(grid_m*ent_m+E$43*ent_bni+$B47*ent_bri))/(sh_out+ri_new)</f>
        <v>0.13690513353439185</v>
      </c>
      <c r="F47" s="44">
        <f>(pub_pre+ri_new-(grid_m*ent_m+F$43*ent_bni+$B47*ent_bri))/(sh_out+ri_new)</f>
        <v>0.13391947098641377</v>
      </c>
      <c r="G47" s="44">
        <f>(pub_pre+ri_new-(grid_m*ent_m+G$43*ent_bni+$B47*ent_bri))/(sh_out+ri_new)</f>
        <v>0.13093380843843566</v>
      </c>
      <c r="H47" s="44">
        <f>(pub_pre+ri_new-(grid_m*ent_m+H$43*ent_bni+$B47*ent_bri))/(sh_out+ri_new)</f>
        <v>0.12794814589045755</v>
      </c>
      <c r="I47" s="44">
        <f>(pub_pre+ri_new-(grid_m*ent_m+I$43*ent_bni+$B47*ent_bri))/(sh_out+ri_new)</f>
        <v>0.12496248334247946</v>
      </c>
      <c r="J47" s="44">
        <f>(pub_pre+ri_new-(grid_m*ent_m+J$43*ent_bni+$B47*ent_bri))/(sh_out+ri_new)</f>
        <v>0.12197682079450137</v>
      </c>
      <c r="K47" s="44">
        <f>(pub_pre+ri_new-(grid_m*ent_m+K$43*ent_bni+$B47*ent_bri))/(sh_out+ri_new)</f>
        <v>0.11899115824652326</v>
      </c>
      <c r="L47" s="44">
        <f>(pub_pre+ri_new-(grid_m*ent_m+L$43*ent_bni+$B47*ent_bri))/(sh_out+ri_new)</f>
        <v>0.11600549569854517</v>
      </c>
      <c r="M47" s="44">
        <f>(pub_pre+ri_new-(grid_m*ent_m+M$43*ent_bni+$B47*ent_bri))/(sh_out+ri_new)</f>
        <v>0.11301983315056705</v>
      </c>
    </row>
    <row r="48">
      <c r="B48" s="43" t="n">
        <v>0.4</v>
      </c>
      <c r="C48" s="44">
        <f>(pub_pre+ri_new-(grid_m*ent_m+C$43*ent_bni+$B48*ent_bri))/(sh_out+ri_new)</f>
        <v>0.14090107265361462</v>
      </c>
      <c r="D48" s="44">
        <f>(pub_pre+ri_new-(grid_m*ent_m+D$43*ent_bni+$B48*ent_bri))/(sh_out+ri_new)</f>
        <v>0.1379154101056365</v>
      </c>
      <c r="E48" s="44">
        <f>(pub_pre+ri_new-(grid_m*ent_m+E$43*ent_bni+$B48*ent_bri))/(sh_out+ri_new)</f>
        <v>0.13492974755765838</v>
      </c>
      <c r="F48" s="44">
        <f>(pub_pre+ri_new-(grid_m*ent_m+F$43*ent_bni+$B48*ent_bri))/(sh_out+ri_new)</f>
        <v>0.1319440850096803</v>
      </c>
      <c r="G48" s="44">
        <f>(pub_pre+ri_new-(grid_m*ent_m+G$43*ent_bni+$B48*ent_bri))/(sh_out+ri_new)</f>
        <v>0.1289584224617022</v>
      </c>
      <c r="H48" s="44">
        <f>(pub_pre+ri_new-(grid_m*ent_m+H$43*ent_bni+$B48*ent_bri))/(sh_out+ri_new)</f>
        <v>0.1259727599137241</v>
      </c>
      <c r="I48" s="44">
        <f>(pub_pre+ri_new-(grid_m*ent_m+I$43*ent_bni+$B48*ent_bri))/(sh_out+ri_new)</f>
        <v>0.122987097365746</v>
      </c>
      <c r="J48" s="44">
        <f>(pub_pre+ri_new-(grid_m*ent_m+J$43*ent_bni+$B48*ent_bri))/(sh_out+ri_new)</f>
        <v>0.12000143481776791</v>
      </c>
      <c r="K48" s="44">
        <f>(pub_pre+ri_new-(grid_m*ent_m+K$43*ent_bni+$B48*ent_bri))/(sh_out+ri_new)</f>
        <v>0.1170157722697898</v>
      </c>
      <c r="L48" s="44">
        <f>(pub_pre+ri_new-(grid_m*ent_m+L$43*ent_bni+$B48*ent_bri))/(sh_out+ri_new)</f>
        <v>0.11403010972181171</v>
      </c>
      <c r="M48" s="44">
        <f>(pub_pre+ri_new-(grid_m*ent_m+M$43*ent_bni+$B48*ent_bri))/(sh_out+ri_new)</f>
        <v>0.11104444717383359</v>
      </c>
    </row>
    <row r="49">
      <c r="B49" s="43" t="n">
        <v>0.5</v>
      </c>
      <c r="C49" s="44">
        <f>(pub_pre+ri_new-(grid_m*ent_m+C$43*ent_bni+$B49*ent_bri))/(sh_out+ri_new)</f>
        <v>0.13892568667688113</v>
      </c>
      <c r="D49" s="44">
        <f>(pub_pre+ri_new-(grid_m*ent_m+D$43*ent_bni+$B49*ent_bri))/(sh_out+ri_new)</f>
        <v>0.13594002412890305</v>
      </c>
      <c r="E49" s="44">
        <f>(pub_pre+ri_new-(grid_m*ent_m+E$43*ent_bni+$B49*ent_bri))/(sh_out+ri_new)</f>
        <v>0.13295436158092494</v>
      </c>
      <c r="F49" s="44">
        <f>(pub_pre+ri_new-(grid_m*ent_m+F$43*ent_bni+$B49*ent_bri))/(sh_out+ri_new)</f>
        <v>0.12996869903294683</v>
      </c>
      <c r="G49" s="44">
        <f>(pub_pre+ri_new-(grid_m*ent_m+G$43*ent_bni+$B49*ent_bri))/(sh_out+ri_new)</f>
        <v>0.12698303648496875</v>
      </c>
      <c r="H49" s="44">
        <f>(pub_pre+ri_new-(grid_m*ent_m+H$43*ent_bni+$B49*ent_bri))/(sh_out+ri_new)</f>
        <v>0.12399737393699065</v>
      </c>
      <c r="I49" s="44">
        <f>(pub_pre+ri_new-(grid_m*ent_m+I$43*ent_bni+$B49*ent_bri))/(sh_out+ri_new)</f>
        <v>0.12101171138901255</v>
      </c>
      <c r="J49" s="44">
        <f>(pub_pre+ri_new-(grid_m*ent_m+J$43*ent_bni+$B49*ent_bri))/(sh_out+ri_new)</f>
        <v>0.11802604884103446</v>
      </c>
      <c r="K49" s="44">
        <f>(pub_pre+ri_new-(grid_m*ent_m+K$43*ent_bni+$B49*ent_bri))/(sh_out+ri_new)</f>
        <v>0.11504038629305635</v>
      </c>
      <c r="L49" s="44">
        <f>(pub_pre+ri_new-(grid_m*ent_m+L$43*ent_bni+$B49*ent_bri))/(sh_out+ri_new)</f>
        <v>0.11205472374507826</v>
      </c>
      <c r="M49" s="44">
        <f>(pub_pre+ri_new-(grid_m*ent_m+M$43*ent_bni+$B49*ent_bri))/(sh_out+ri_new)</f>
        <v>0.10906906119710014</v>
      </c>
    </row>
    <row r="50">
      <c r="B50" s="43" t="n">
        <v>0.6</v>
      </c>
      <c r="C50" s="44">
        <f>(pub_pre+ri_new-(grid_m*ent_m+C$43*ent_bni+$B50*ent_bri))/(sh_out+ri_new)</f>
        <v>0.1369503007001477</v>
      </c>
      <c r="D50" s="44">
        <f>(pub_pre+ri_new-(grid_m*ent_m+D$43*ent_bni+$B50*ent_bri))/(sh_out+ri_new)</f>
        <v>0.13396463815216958</v>
      </c>
      <c r="E50" s="44">
        <f>(pub_pre+ri_new-(grid_m*ent_m+E$43*ent_bni+$B50*ent_bri))/(sh_out+ri_new)</f>
        <v>0.13097897560419147</v>
      </c>
      <c r="F50" s="44">
        <f>(pub_pre+ri_new-(grid_m*ent_m+F$43*ent_bni+$B50*ent_bri))/(sh_out+ri_new)</f>
        <v>0.1279933130562134</v>
      </c>
      <c r="G50" s="44">
        <f>(pub_pre+ri_new-(grid_m*ent_m+G$43*ent_bni+$B50*ent_bri))/(sh_out+ri_new)</f>
        <v>0.12500765050823529</v>
      </c>
      <c r="H50" s="44">
        <f>(pub_pre+ri_new-(grid_m*ent_m+H$43*ent_bni+$B50*ent_bri))/(sh_out+ri_new)</f>
        <v>0.12202198796025719</v>
      </c>
      <c r="I50" s="44">
        <f>(pub_pre+ri_new-(grid_m*ent_m+I$43*ent_bni+$B50*ent_bri))/(sh_out+ri_new)</f>
        <v>0.11903632541227907</v>
      </c>
      <c r="J50" s="44">
        <f>(pub_pre+ri_new-(grid_m*ent_m+J$43*ent_bni+$B50*ent_bri))/(sh_out+ri_new)</f>
        <v>0.11605066286430098</v>
      </c>
      <c r="K50" s="44">
        <f>(pub_pre+ri_new-(grid_m*ent_m+K$43*ent_bni+$B50*ent_bri))/(sh_out+ri_new)</f>
        <v>0.1130650003163229</v>
      </c>
      <c r="L50" s="44">
        <f>(pub_pre+ri_new-(grid_m*ent_m+L$43*ent_bni+$B50*ent_bri))/(sh_out+ri_new)</f>
        <v>0.1100793377683448</v>
      </c>
      <c r="M50" s="44">
        <f>(pub_pre+ri_new-(grid_m*ent_m+M$43*ent_bni+$B50*ent_bri))/(sh_out+ri_new)</f>
        <v>0.10709367522036667</v>
      </c>
    </row>
    <row r="51">
      <c r="B51" s="43" t="n">
        <v>0.7</v>
      </c>
      <c r="C51" s="44">
        <f>(pub_pre+ri_new-(grid_m*ent_m+C$43*ent_bni+$B51*ent_bri))/(sh_out+ri_new)</f>
        <v>0.13497491472341422</v>
      </c>
      <c r="D51" s="44">
        <f>(pub_pre+ri_new-(grid_m*ent_m+D$43*ent_bni+$B51*ent_bri))/(sh_out+ri_new)</f>
        <v>0.1319892521754361</v>
      </c>
      <c r="E51" s="44">
        <f>(pub_pre+ri_new-(grid_m*ent_m+E$43*ent_bni+$B51*ent_bri))/(sh_out+ri_new)</f>
        <v>0.12900358962745803</v>
      </c>
      <c r="F51" s="44">
        <f>(pub_pre+ri_new-(grid_m*ent_m+F$43*ent_bni+$B51*ent_bri))/(sh_out+ri_new)</f>
        <v>0.12601792707947992</v>
      </c>
      <c r="G51" s="44">
        <f>(pub_pre+ri_new-(grid_m*ent_m+G$43*ent_bni+$B51*ent_bri))/(sh_out+ri_new)</f>
        <v>0.12303226453150182</v>
      </c>
      <c r="H51" s="44">
        <f>(pub_pre+ri_new-(grid_m*ent_m+H$43*ent_bni+$B51*ent_bri))/(sh_out+ri_new)</f>
        <v>0.12004660198352374</v>
      </c>
      <c r="I51" s="44">
        <f>(pub_pre+ri_new-(grid_m*ent_m+I$43*ent_bni+$B51*ent_bri))/(sh_out+ri_new)</f>
        <v>0.11706093943554562</v>
      </c>
      <c r="J51" s="44">
        <f>(pub_pre+ri_new-(grid_m*ent_m+J$43*ent_bni+$B51*ent_bri))/(sh_out+ri_new)</f>
        <v>0.11407527688756752</v>
      </c>
      <c r="K51" s="44">
        <f>(pub_pre+ri_new-(grid_m*ent_m+K$43*ent_bni+$B51*ent_bri))/(sh_out+ri_new)</f>
        <v>0.11108961433958942</v>
      </c>
      <c r="L51" s="44">
        <f>(pub_pre+ri_new-(grid_m*ent_m+L$43*ent_bni+$B51*ent_bri))/(sh_out+ri_new)</f>
        <v>0.10810395179161132</v>
      </c>
      <c r="M51" s="44">
        <f>(pub_pre+ri_new-(grid_m*ent_m+M$43*ent_bni+$B51*ent_bri))/(sh_out+ri_new)</f>
        <v>0.10511828924363321</v>
      </c>
    </row>
    <row r="52">
      <c r="B52" s="43" t="n">
        <v>0.8</v>
      </c>
      <c r="C52" s="44">
        <f>(pub_pre+ri_new-(grid_m*ent_m+C$43*ent_bni+$B52*ent_bri))/(sh_out+ri_new)</f>
        <v>0.13299952874668075</v>
      </c>
      <c r="D52" s="44">
        <f>(pub_pre+ri_new-(grid_m*ent_m+D$43*ent_bni+$B52*ent_bri))/(sh_out+ri_new)</f>
        <v>0.13001386619870267</v>
      </c>
      <c r="E52" s="44">
        <f>(pub_pre+ri_new-(grid_m*ent_m+E$43*ent_bni+$B52*ent_bri))/(sh_out+ri_new)</f>
        <v>0.12702820365072456</v>
      </c>
      <c r="F52" s="44">
        <f>(pub_pre+ri_new-(grid_m*ent_m+F$43*ent_bni+$B52*ent_bri))/(sh_out+ri_new)</f>
        <v>0.12404254110274648</v>
      </c>
      <c r="G52" s="44">
        <f>(pub_pre+ri_new-(grid_m*ent_m+G$43*ent_bni+$B52*ent_bri))/(sh_out+ri_new)</f>
        <v>0.12105687855476836</v>
      </c>
      <c r="H52" s="44">
        <f>(pub_pre+ri_new-(grid_m*ent_m+H$43*ent_bni+$B52*ent_bri))/(sh_out+ri_new)</f>
        <v>0.11807121600679026</v>
      </c>
      <c r="I52" s="44">
        <f>(pub_pre+ri_new-(grid_m*ent_m+I$43*ent_bni+$B52*ent_bri))/(sh_out+ri_new)</f>
        <v>0.11508555345881216</v>
      </c>
      <c r="J52" s="44">
        <f>(pub_pre+ri_new-(grid_m*ent_m+J$43*ent_bni+$B52*ent_bri))/(sh_out+ri_new)</f>
        <v>0.11209989091083407</v>
      </c>
      <c r="K52" s="44">
        <f>(pub_pre+ri_new-(grid_m*ent_m+K$43*ent_bni+$B52*ent_bri))/(sh_out+ri_new)</f>
        <v>0.10911422836285596</v>
      </c>
      <c r="L52" s="44">
        <f>(pub_pre+ri_new-(grid_m*ent_m+L$43*ent_bni+$B52*ent_bri))/(sh_out+ri_new)</f>
        <v>0.10612856581487787</v>
      </c>
      <c r="M52" s="44">
        <f>(pub_pre+ri_new-(grid_m*ent_m+M$43*ent_bni+$B52*ent_bri))/(sh_out+ri_new)</f>
        <v>0.10314290326689976</v>
      </c>
    </row>
    <row r="53">
      <c r="B53" s="43" t="n">
        <v>0.9</v>
      </c>
      <c r="C53" s="44">
        <f>(pub_pre+ri_new-(grid_m*ent_m+C$43*ent_bni+$B53*ent_bri))/(sh_out+ri_new)</f>
        <v>0.1310241427699473</v>
      </c>
      <c r="D53" s="44">
        <f>(pub_pre+ri_new-(grid_m*ent_m+D$43*ent_bni+$B53*ent_bri))/(sh_out+ri_new)</f>
        <v>0.1280384802219692</v>
      </c>
      <c r="E53" s="44">
        <f>(pub_pre+ri_new-(grid_m*ent_m+E$43*ent_bni+$B53*ent_bri))/(sh_out+ri_new)</f>
        <v>0.1250528176739911</v>
      </c>
      <c r="F53" s="44">
        <f>(pub_pre+ri_new-(grid_m*ent_m+F$43*ent_bni+$B53*ent_bri))/(sh_out+ri_new)</f>
        <v>0.122067155126013</v>
      </c>
      <c r="G53" s="44">
        <f>(pub_pre+ri_new-(grid_m*ent_m+G$43*ent_bni+$B53*ent_bri))/(sh_out+ri_new)</f>
        <v>0.11908149257803491</v>
      </c>
      <c r="H53" s="44">
        <f>(pub_pre+ri_new-(grid_m*ent_m+H$43*ent_bni+$B53*ent_bri))/(sh_out+ri_new)</f>
        <v>0.1160958300300568</v>
      </c>
      <c r="I53" s="44">
        <f>(pub_pre+ri_new-(grid_m*ent_m+I$43*ent_bni+$B53*ent_bri))/(sh_out+ri_new)</f>
        <v>0.11311016748207871</v>
      </c>
      <c r="J53" s="44">
        <f>(pub_pre+ri_new-(grid_m*ent_m+J$43*ent_bni+$B53*ent_bri))/(sh_out+ri_new)</f>
        <v>0.11012450493410061</v>
      </c>
      <c r="K53" s="44">
        <f>(pub_pre+ri_new-(grid_m*ent_m+K$43*ent_bni+$B53*ent_bri))/(sh_out+ri_new)</f>
        <v>0.10713884238612251</v>
      </c>
      <c r="L53" s="44">
        <f>(pub_pre+ri_new-(grid_m*ent_m+L$43*ent_bni+$B53*ent_bri))/(sh_out+ri_new)</f>
        <v>0.10415317983814441</v>
      </c>
      <c r="M53" s="44">
        <f>(pub_pre+ri_new-(grid_m*ent_m+M$43*ent_bni+$B53*ent_bri))/(sh_out+ri_new)</f>
        <v>0.1011675172901663</v>
      </c>
    </row>
    <row r="54">
      <c r="B54" s="43" t="n">
        <v>1</v>
      </c>
      <c r="C54" s="44">
        <f>(pub_pre+ri_new-(grid_m*ent_m+C$43*ent_bni+$B54*ent_bri))/(sh_out+ri_new)</f>
        <v>0.12904875679321384</v>
      </c>
      <c r="D54" s="44">
        <f>(pub_pre+ri_new-(grid_m*ent_m+D$43*ent_bni+$B54*ent_bri))/(sh_out+ri_new)</f>
        <v>0.12606309424523576</v>
      </c>
      <c r="E54" s="44">
        <f>(pub_pre+ri_new-(grid_m*ent_m+E$43*ent_bni+$B54*ent_bri))/(sh_out+ri_new)</f>
        <v>0.12307743169725764</v>
      </c>
      <c r="F54" s="44">
        <f>(pub_pre+ri_new-(grid_m*ent_m+F$43*ent_bni+$B54*ent_bri))/(sh_out+ri_new)</f>
        <v>0.12009176914927955</v>
      </c>
      <c r="G54" s="44">
        <f>(pub_pre+ri_new-(grid_m*ent_m+G$43*ent_bni+$B54*ent_bri))/(sh_out+ri_new)</f>
        <v>0.11710610660130144</v>
      </c>
      <c r="H54" s="44">
        <f>(pub_pre+ri_new-(grid_m*ent_m+H$43*ent_bni+$B54*ent_bri))/(sh_out+ri_new)</f>
        <v>0.11412044405332335</v>
      </c>
      <c r="I54" s="44">
        <f>(pub_pre+ri_new-(grid_m*ent_m+I$43*ent_bni+$B54*ent_bri))/(sh_out+ri_new)</f>
        <v>0.11113478150534525</v>
      </c>
      <c r="J54" s="44">
        <f>(pub_pre+ri_new-(grid_m*ent_m+J$43*ent_bni+$B54*ent_bri))/(sh_out+ri_new)</f>
        <v>0.10814911895736716</v>
      </c>
      <c r="K54" s="44">
        <f>(pub_pre+ri_new-(grid_m*ent_m+K$43*ent_bni+$B54*ent_bri))/(sh_out+ri_new)</f>
        <v>0.10516345640938904</v>
      </c>
      <c r="L54" s="44">
        <f>(pub_pre+ri_new-(grid_m*ent_m+L$43*ent_bni+$B54*ent_bri))/(sh_out+ri_new)</f>
        <v>0.10217779386141095</v>
      </c>
      <c r="M54" s="44">
        <f>(pub_pre+ri_new-(grid_m*ent_m+M$43*ent_bni+$B54*ent_bri))/(sh_out+ri_new)</f>
        <v>0.09919213131343285</v>
      </c>
    </row>
    <row r="56">
      <c r="A56" s="2" t="inlineStr">
        <is>
          <t>Dark green: meets 15%. Light green: meets 12.5% only. Orange: below 12.5%.</t>
        </is>
      </c>
    </row>
  </sheetData>
  <conditionalFormatting sqref="C44:M54">
    <cfRule type="cellIs" priority="1" operator="greaterThanOrEqual" dxfId="0">
      <formula>Inputs!$B$30</formula>
    </cfRule>
    <cfRule type="cellIs" priority="2" operator="greaterThanOrEqual" dxfId="1">
      <formula>Inputs!$B$29</formula>
    </cfRule>
    <cfRule type="cellIs" priority="3" operator="lessThan" dxfId="2">
      <formula>Inputs!$B$29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3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What the capital guidance implies</t>
        </is>
      </c>
    </row>
    <row r="2">
      <c r="A2" s="2" t="inlineStr">
        <is>
          <t>Reads the disclosure's 2026 and 2027 figures as year-end projections. Other regulatory-capital items (Tier 2, deductions, OCI) are held flat, so treat the implied price as a range.</t>
        </is>
      </c>
    </row>
    <row r="4">
      <c r="A4" s="3" t="inlineStr">
        <is>
          <t>Bridge</t>
        </is>
      </c>
      <c r="B4" s="4" t="inlineStr">
        <is>
          <t>Value</t>
        </is>
      </c>
      <c r="C4" s="4" t="inlineStr">
        <is>
          <t>Unit</t>
        </is>
      </c>
    </row>
    <row r="5">
      <c r="A5" s="5" t="inlineStr">
        <is>
          <t>Capital, 2026 (guided)</t>
        </is>
      </c>
      <c r="B5" s="35">
        <f>cap_2026</f>
        <v>51070.0</v>
      </c>
      <c r="C5" s="2" t="inlineStr">
        <is>
          <t>Rp bn</t>
        </is>
      </c>
    </row>
    <row r="6">
      <c r="A6" s="5" t="inlineStr">
        <is>
          <t>CAR, 2026 (guided)</t>
        </is>
      </c>
      <c r="B6" s="45">
        <f>car_2026</f>
        <v>0.2038</v>
      </c>
      <c r="C6" s="2" t="inlineStr">
        <is>
          <t>%</t>
        </is>
      </c>
    </row>
    <row r="7">
      <c r="A7" s="5" t="inlineStr">
        <is>
          <t>Implied risk-weighted assets, 2026</t>
        </is>
      </c>
      <c r="B7" s="24">
        <f>B5/B6</f>
        <v>250588.81256133463</v>
      </c>
      <c r="C7" s="2" t="inlineStr">
        <is>
          <t>Rp bn</t>
        </is>
      </c>
    </row>
    <row r="8">
      <c r="A8" s="5" t="inlineStr">
        <is>
          <t>Capital, 2027 (guided)</t>
        </is>
      </c>
      <c r="B8" s="35">
        <f>cap_2027</f>
        <v>64410.0</v>
      </c>
      <c r="C8" s="2" t="inlineStr">
        <is>
          <t>Rp bn</t>
        </is>
      </c>
    </row>
    <row r="9">
      <c r="A9" s="5" t="inlineStr">
        <is>
          <t>CAR, 2027 (guided)</t>
        </is>
      </c>
      <c r="B9" s="45">
        <f>car_2027</f>
        <v>0.2331</v>
      </c>
      <c r="C9" s="2" t="inlineStr">
        <is>
          <t>%</t>
        </is>
      </c>
    </row>
    <row r="10">
      <c r="A10" s="5" t="inlineStr">
        <is>
          <t>Implied risk-weighted assets, 2027</t>
        </is>
      </c>
      <c r="B10" s="24">
        <f>B8/B9</f>
        <v>276319.17631917633</v>
      </c>
      <c r="C10" s="2" t="inlineStr">
        <is>
          <t>Rp bn</t>
        </is>
      </c>
    </row>
    <row r="11">
      <c r="A11" s="5" t="inlineStr">
        <is>
          <t>Risk-weighted asset growth implied</t>
        </is>
      </c>
      <c r="B11" s="23">
        <f>B10/B7-1</f>
        <v>0.10267961883391696</v>
      </c>
      <c r="C11" s="2" t="inlineStr">
        <is>
          <t>%</t>
        </is>
      </c>
    </row>
    <row r="12">
      <c r="A12" s="5" t="inlineStr">
        <is>
          <t>Capital added, 2026 to 2027</t>
        </is>
      </c>
      <c r="B12" s="24">
        <f>B8-B5</f>
        <v>13340.0</v>
      </c>
      <c r="C12" s="2" t="inlineStr">
        <is>
          <t>Rp bn</t>
        </is>
      </c>
    </row>
    <row r="13">
      <c r="A13" s="5" t="inlineStr">
        <is>
          <t>Net profit, 2027F</t>
        </is>
      </c>
      <c r="B13" s="35">
        <f>ni_2027f</f>
        <v>10020.0</v>
      </c>
      <c r="C13" s="2" t="inlineStr">
        <is>
          <t>Rp bn</t>
        </is>
      </c>
    </row>
    <row r="14">
      <c r="A14" s="5" t="inlineStr">
        <is>
          <t>Dividend paid in 2027 (payout x 2026F profit)</t>
        </is>
      </c>
      <c r="B14" s="24">
        <f>payout*ni_2026f</f>
        <v>1730.0</v>
      </c>
      <c r="C14" s="2" t="inlineStr">
        <is>
          <t>Rp bn</t>
        </is>
      </c>
    </row>
    <row r="15">
      <c r="A15" s="5" t="inlineStr">
        <is>
          <t>Retained profit, 2027</t>
        </is>
      </c>
      <c r="B15" s="24">
        <f>B13-B14</f>
        <v>8290.0</v>
      </c>
      <c r="C15" s="2" t="inlineStr">
        <is>
          <t>Rp bn</t>
        </is>
      </c>
    </row>
    <row r="16">
      <c r="A16" s="5" t="inlineStr">
        <is>
          <t>Left for the rights issue to supply (net)</t>
        </is>
      </c>
      <c r="B16" s="46">
        <f>B12-B15</f>
        <v>5050.0</v>
      </c>
      <c r="C16" s="2" t="inlineStr">
        <is>
          <t>Rp bn</t>
        </is>
      </c>
    </row>
    <row r="17">
      <c r="A17" s="5" t="inlineStr">
        <is>
          <t>Gross proceeds implied</t>
        </is>
      </c>
      <c r="B17" s="24">
        <f>B16/(1-ri_cost)</f>
        <v>5101.010101010101</v>
      </c>
      <c r="C17" s="2" t="inlineStr">
        <is>
          <t>Rp bn</t>
        </is>
      </c>
    </row>
    <row r="18">
      <c r="A18" s="5" t="inlineStr">
        <is>
          <t>Implied exercise price if all 6.8bn shares are issued</t>
        </is>
      </c>
      <c r="B18" s="46">
        <f>B17*1E9/ri_max</f>
        <v>750.1485442661913</v>
      </c>
      <c r="C18" s="2" t="inlineStr">
        <is>
          <t>Rp</t>
        </is>
      </c>
    </row>
    <row r="19">
      <c r="A19" s="5" t="inlineStr">
        <is>
          <t>Implied discount to last close</t>
        </is>
      </c>
      <c r="B19" s="23">
        <f>1-B18/px_last</f>
        <v>0.47172637727733013</v>
      </c>
      <c r="C19" s="2" t="inlineStr">
        <is>
          <t>%</t>
        </is>
      </c>
    </row>
    <row r="20">
      <c r="A20" s="5" t="inlineStr">
        <is>
          <t>Implied discount to TERP</t>
        </is>
      </c>
      <c r="B20" s="23">
        <f>1-B18/((sh_out*px_last+ri_max*B18)/(sh_out+ri_max))</f>
        <v>0.43764527780516604</v>
      </c>
      <c r="C20" s="2" t="inlineStr">
        <is>
          <t>%</t>
        </is>
      </c>
    </row>
    <row r="21">
      <c r="A21" s="5" t="inlineStr">
        <is>
          <t>CAR in 2027 with no rights issue</t>
        </is>
      </c>
      <c r="B21" s="47">
        <f>(B5+B15)/B10</f>
        <v>0.21482403353516533</v>
      </c>
      <c r="C21" s="2" t="inlineStr">
        <is>
          <t>%</t>
        </is>
      </c>
    </row>
    <row r="24">
      <c r="A24" s="11" t="inlineStr">
        <is>
          <t>Implied exercise price (Rp): dividend payout down, 2027F net profit (Rp bn) across</t>
        </is>
      </c>
    </row>
    <row r="25">
      <c r="A25" s="3" t="inlineStr">
        <is>
          <t>Payout \ 2027F profit</t>
        </is>
      </c>
      <c r="B25" s="48" t="n">
        <v>9000</v>
      </c>
      <c r="C25" s="48" t="n">
        <v>9500</v>
      </c>
      <c r="D25" s="48" t="n">
        <v>10020</v>
      </c>
      <c r="E25" s="48" t="n">
        <v>10500</v>
      </c>
      <c r="F25" s="48" t="n">
        <v>11000</v>
      </c>
    </row>
    <row r="26">
      <c r="A26" s="49" t="n">
        <v>0.15</v>
      </c>
      <c r="B26" s="29">
        <f>((cap_2027-cap_2026)-(B$25-$A26*ni_2026f))/(1-ri_cost)*1E9/ri_max</f>
        <v>837.4183006535948</v>
      </c>
      <c r="C26" s="29">
        <f>((cap_2027-cap_2026)-(C$25-$A26*ni_2026f))/(1-ri_cost)*1E9/ri_max</f>
        <v>763.1461675579322</v>
      </c>
      <c r="D26" s="29">
        <f>((cap_2027-cap_2026)-(D$25-$A26*ni_2026f))/(1-ri_cost)*1E9/ri_max</f>
        <v>685.9031491384433</v>
      </c>
      <c r="E26" s="29">
        <f>((cap_2027-cap_2026)-(E$25-$A26*ni_2026f))/(1-ri_cost)*1E9/ri_max</f>
        <v>614.6019013666072</v>
      </c>
      <c r="F26" s="29">
        <f>((cap_2027-cap_2026)-(F$25-$A26*ni_2026f))/(1-ri_cost)*1E9/ri_max</f>
        <v>540.3297682709448</v>
      </c>
    </row>
    <row r="27">
      <c r="A27" s="49" t="n">
        <v>0.2</v>
      </c>
      <c r="B27" s="29">
        <f>((cap_2027-cap_2026)-(B$25-$A27*ni_2026f))/(1-ri_cost)*1E9/ri_max</f>
        <v>901.6636957813429</v>
      </c>
      <c r="C27" s="29">
        <f>((cap_2027-cap_2026)-(C$25-$A27*ni_2026f))/(1-ri_cost)*1E9/ri_max</f>
        <v>827.3915626856802</v>
      </c>
      <c r="D27" s="29">
        <f>((cap_2027-cap_2026)-(D$25-$A27*ni_2026f))/(1-ri_cost)*1E9/ri_max</f>
        <v>750.1485442661913</v>
      </c>
      <c r="E27" s="29">
        <f>((cap_2027-cap_2026)-(E$25-$A27*ni_2026f))/(1-ri_cost)*1E9/ri_max</f>
        <v>678.8472964943553</v>
      </c>
      <c r="F27" s="29">
        <f>((cap_2027-cap_2026)-(F$25-$A27*ni_2026f))/(1-ri_cost)*1E9/ri_max</f>
        <v>604.5751633986929</v>
      </c>
    </row>
    <row r="28">
      <c r="A28" s="49" t="n">
        <v>0.25</v>
      </c>
      <c r="B28" s="29">
        <f>((cap_2027-cap_2026)-(B$25-$A28*ni_2026f))/(1-ri_cost)*1E9/ri_max</f>
        <v>965.909090909091</v>
      </c>
      <c r="C28" s="29">
        <f>((cap_2027-cap_2026)-(C$25-$A28*ni_2026f))/(1-ri_cost)*1E9/ri_max</f>
        <v>891.6369578134285</v>
      </c>
      <c r="D28" s="29">
        <f>((cap_2027-cap_2026)-(D$25-$A28*ni_2026f))/(1-ri_cost)*1E9/ri_max</f>
        <v>814.3939393939394</v>
      </c>
      <c r="E28" s="29">
        <f>((cap_2027-cap_2026)-(E$25-$A28*ni_2026f))/(1-ri_cost)*1E9/ri_max</f>
        <v>743.0926916221033</v>
      </c>
      <c r="F28" s="29">
        <f>((cap_2027-cap_2026)-(F$25-$A28*ni_2026f))/(1-ri_cost)*1E9/ri_max</f>
        <v>668.8205585264409</v>
      </c>
    </row>
    <row r="29">
      <c r="A29" s="49" t="n">
        <v>0.3</v>
      </c>
      <c r="B29" s="29">
        <f>((cap_2027-cap_2026)-(B$25-$A29*ni_2026f))/(1-ri_cost)*1E9/ri_max</f>
        <v>1030.154486036839</v>
      </c>
      <c r="C29" s="29">
        <f>((cap_2027-cap_2026)-(C$25-$A29*ni_2026f))/(1-ri_cost)*1E9/ri_max</f>
        <v>955.8823529411765</v>
      </c>
      <c r="D29" s="29">
        <f>((cap_2027-cap_2026)-(D$25-$A29*ni_2026f))/(1-ri_cost)*1E9/ri_max</f>
        <v>878.6393345216875</v>
      </c>
      <c r="E29" s="29">
        <f>((cap_2027-cap_2026)-(E$25-$A29*ni_2026f))/(1-ri_cost)*1E9/ri_max</f>
        <v>807.3380867498515</v>
      </c>
      <c r="F29" s="29">
        <f>((cap_2027-cap_2026)-(F$25-$A29*ni_2026f))/(1-ri_cost)*1E9/ri_max</f>
        <v>733.065953654189</v>
      </c>
    </row>
    <row r="30">
      <c r="A30" s="49" t="n">
        <v>0.4</v>
      </c>
      <c r="B30" s="29">
        <f>((cap_2027-cap_2026)-(B$25-$A30*ni_2026f))/(1-ri_cost)*1E9/ri_max</f>
        <v>1158.6452762923352</v>
      </c>
      <c r="C30" s="29">
        <f>((cap_2027-cap_2026)-(C$25-$A30*ni_2026f))/(1-ri_cost)*1E9/ri_max</f>
        <v>1084.3731431966726</v>
      </c>
      <c r="D30" s="29">
        <f>((cap_2027-cap_2026)-(D$25-$A30*ni_2026f))/(1-ri_cost)*1E9/ri_max</f>
        <v>1007.1301247771836</v>
      </c>
      <c r="E30" s="29">
        <f>((cap_2027-cap_2026)-(E$25-$A30*ni_2026f))/(1-ri_cost)*1E9/ri_max</f>
        <v>935.8288770053476</v>
      </c>
      <c r="F30" s="29">
        <f>((cap_2027-cap_2026)-(F$25-$A30*ni_2026f))/(1-ri_cost)*1E9/ri_max</f>
        <v>861.5567439096851</v>
      </c>
    </row>
    <row r="31">
      <c r="A31" s="49" t="n">
        <v>0.5</v>
      </c>
      <c r="B31" s="29">
        <f>((cap_2027-cap_2026)-(B$25-$A31*ni_2026f))/(1-ri_cost)*1E9/ri_max</f>
        <v>1287.1360665478312</v>
      </c>
      <c r="C31" s="29">
        <f>((cap_2027-cap_2026)-(C$25-$A31*ni_2026f))/(1-ri_cost)*1E9/ri_max</f>
        <v>1212.8639334521688</v>
      </c>
      <c r="D31" s="29">
        <f>((cap_2027-cap_2026)-(D$25-$A31*ni_2026f))/(1-ri_cost)*1E9/ri_max</f>
        <v>1135.6209150326797</v>
      </c>
      <c r="E31" s="29">
        <f>((cap_2027-cap_2026)-(E$25-$A31*ni_2026f))/(1-ri_cost)*1E9/ri_max</f>
        <v>1064.3196672608437</v>
      </c>
      <c r="F31" s="29">
        <f>((cap_2027-cap_2026)-(F$25-$A31*ni_2026f))/(1-ri_cost)*1E9/ri_max</f>
        <v>990.0475341651812</v>
      </c>
    </row>
    <row r="32">
      <c r="A32" s="49" t="n">
        <v>0.6</v>
      </c>
      <c r="B32" s="29">
        <f>((cap_2027-cap_2026)-(B$25-$A32*ni_2026f))/(1-ri_cost)*1E9/ri_max</f>
        <v>1415.6268568033274</v>
      </c>
      <c r="C32" s="29">
        <f>((cap_2027-cap_2026)-(C$25-$A32*ni_2026f))/(1-ri_cost)*1E9/ri_max</f>
        <v>1341.3547237076648</v>
      </c>
      <c r="D32" s="29">
        <f>((cap_2027-cap_2026)-(D$25-$A32*ni_2026f))/(1-ri_cost)*1E9/ri_max</f>
        <v>1264.111705288176</v>
      </c>
      <c r="E32" s="29">
        <f>((cap_2027-cap_2026)-(E$25-$A32*ni_2026f))/(1-ri_cost)*1E9/ri_max</f>
        <v>1192.81045751634</v>
      </c>
      <c r="F32" s="29">
        <f>((cap_2027-cap_2026)-(F$25-$A32*ni_2026f))/(1-ri_cost)*1E9/ri_max</f>
        <v>1118.5383244206773</v>
      </c>
    </row>
    <row r="34">
      <c r="A34" s="2" t="inlineStr">
        <is>
          <t>Above Rp1,420 means the guidance needs more capital than a rights issue at today's price could raise; that would point to a smaller issue, a higher payout, or a different basis for the guidance.</t>
        </is>
      </c>
    </row>
    <row r="36">
      <c r="A36" s="3" t="inlineStr">
        <is>
          <t>KBMI 4 (core capital above Rp70tn)</t>
        </is>
      </c>
      <c r="B36" s="4" t="inlineStr">
        <is>
          <t>Value</t>
        </is>
      </c>
      <c r="C36" s="4" t="inlineStr">
        <is>
          <t>Unit</t>
        </is>
      </c>
    </row>
    <row r="37">
      <c r="A37" s="5" t="inlineStr">
        <is>
          <t>KBMI 4 entry</t>
        </is>
      </c>
      <c r="B37" s="35">
        <f>kbmi4</f>
        <v>70000.0</v>
      </c>
      <c r="C37" s="2" t="inlineStr">
        <is>
          <t>Rp bn</t>
        </is>
      </c>
    </row>
    <row r="38">
      <c r="A38" s="5" t="inlineStr">
        <is>
          <t>Capital, 2027 (guided)</t>
        </is>
      </c>
      <c r="B38" s="35">
        <f>cap_2027</f>
        <v>64410.0</v>
      </c>
      <c r="C38" s="2" t="inlineStr">
        <is>
          <t>Rp bn</t>
        </is>
      </c>
    </row>
    <row r="39">
      <c r="A39" s="5" t="inlineStr">
        <is>
          <t>Gap after the 2027 guidance</t>
        </is>
      </c>
      <c r="B39" s="24">
        <f>B37-B38</f>
        <v>5590.0</v>
      </c>
      <c r="C39" s="2" t="inlineStr">
        <is>
          <t>Rp bn</t>
        </is>
      </c>
    </row>
    <row r="40">
      <c r="A40" s="5" t="inlineStr">
        <is>
          <t>Retained profit, 2028 (2028F less payout x 2027F)</t>
        </is>
      </c>
      <c r="B40" s="24">
        <f>ni_2028f-payout*ni_2027f</f>
        <v>9546.0</v>
      </c>
      <c r="C40" s="2" t="inlineStr">
        <is>
          <t>Rp bn</t>
        </is>
      </c>
    </row>
    <row r="41">
      <c r="A41" s="5" t="inlineStr">
        <is>
          <t>Capital, 2028, if nothing else changes</t>
        </is>
      </c>
      <c r="B41" s="46">
        <f>B38+B40</f>
        <v>73956.0</v>
      </c>
      <c r="C41" s="2" t="inlineStr">
        <is>
          <t>Rp bn</t>
        </is>
      </c>
    </row>
    <row r="43">
      <c r="A43" s="2" t="inlineStr">
        <is>
          <t>KBMI uses core capital (Tier 1), which sits below total capital, so this is the earliest the step-up could happen.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8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With and without the rights issue</t>
        </is>
      </c>
    </row>
    <row r="2">
      <c r="A2" s="2" t="inlineStr">
        <is>
          <t>Profit forecasts from Inputs. The rights-issue case adds net proceeds at the base-case price at the end of Q1-2027 and earns r_idle on them in 2027 and r_deploy in 2028.</t>
        </is>
      </c>
    </row>
    <row r="4">
      <c r="A4" s="3" t="inlineStr">
        <is>
          <t>No rights issue</t>
        </is>
      </c>
      <c r="B4" s="4" t="inlineStr">
        <is>
          <t>Unit</t>
        </is>
      </c>
      <c r="C4" s="4" t="inlineStr">
        <is>
          <t>2026E</t>
        </is>
      </c>
      <c r="D4" s="4" t="inlineStr">
        <is>
          <t>2027E</t>
        </is>
      </c>
      <c r="E4" s="4" t="inlineStr">
        <is>
          <t>2028E</t>
        </is>
      </c>
    </row>
    <row r="5">
      <c r="A5" s="5" t="inlineStr">
        <is>
          <t>Net profit</t>
        </is>
      </c>
      <c r="B5" s="2" t="inlineStr">
        <is>
          <t>Rp bn</t>
        </is>
      </c>
      <c r="C5" s="29">
        <f>ni_2026f</f>
        <v>8650.0</v>
      </c>
      <c r="D5" s="29">
        <f>ni_2027f</f>
        <v>10020.0</v>
      </c>
      <c r="E5" s="29">
        <f>ni_2028f</f>
        <v>11550.0</v>
      </c>
    </row>
    <row r="6">
      <c r="A6" s="5" t="inlineStr">
        <is>
          <t>Dividends paid in the year</t>
        </is>
      </c>
      <c r="B6" s="2" t="inlineStr">
        <is>
          <t>Rp bn</t>
        </is>
      </c>
      <c r="C6" s="29">
        <f>div_fy25</f>
        <v>1513.505</v>
      </c>
      <c r="D6" s="29">
        <f>payout*C5</f>
        <v>1730.0</v>
      </c>
      <c r="E6" s="29">
        <f>payout*D5</f>
        <v>2004.0</v>
      </c>
    </row>
    <row r="7">
      <c r="A7" s="5" t="inlineStr">
        <is>
          <t>Equity at year end</t>
        </is>
      </c>
      <c r="B7" s="2" t="inlineStr">
        <is>
          <t>Rp bn</t>
        </is>
      </c>
      <c r="C7" s="29">
        <f>eq_jun26+(C5-ni_q1_26-ni_q2_26)</f>
        <v>55534.912</v>
      </c>
      <c r="D7" s="29">
        <f>C7+D5-D6</f>
        <v>63824.912</v>
      </c>
      <c r="E7" s="29">
        <f>D7+E5-E6</f>
        <v>73370.912</v>
      </c>
    </row>
    <row r="8">
      <c r="A8" s="5" t="inlineStr">
        <is>
          <t>Shares at year end</t>
        </is>
      </c>
      <c r="B8" s="2" t="inlineStr">
        <is>
          <t>m</t>
        </is>
      </c>
      <c r="C8" s="29">
        <f>sh_out/1E6</f>
        <v>46129.260138</v>
      </c>
      <c r="D8" s="29">
        <f>sh_out/1E6</f>
        <v>46129.260138</v>
      </c>
      <c r="E8" s="29">
        <f>sh_out/1E6</f>
        <v>46129.260138</v>
      </c>
    </row>
    <row r="9">
      <c r="A9" s="5" t="inlineStr">
        <is>
          <t>Earnings per share</t>
        </is>
      </c>
      <c r="B9" s="2" t="inlineStr">
        <is>
          <t>Rp</t>
        </is>
      </c>
      <c r="C9" s="31">
        <f>C5*1E9/(C8*1E6)</f>
        <v>187.51655617546683</v>
      </c>
      <c r="D9" s="31">
        <f>D5*1E9/(D8*1E6)</f>
        <v>217.2157101593269</v>
      </c>
      <c r="E9" s="31">
        <f>E5*1E9/(E8*1E6)</f>
        <v>250.38337847706842</v>
      </c>
    </row>
    <row r="10">
      <c r="A10" s="5" t="inlineStr">
        <is>
          <t>Book value per share</t>
        </is>
      </c>
      <c r="B10" s="2" t="inlineStr">
        <is>
          <t>Rp</t>
        </is>
      </c>
      <c r="C10" s="31">
        <f>C7*1E9/(C8*1E6)</f>
        <v>1203.897739392787</v>
      </c>
      <c r="D10" s="31">
        <f>D7*1E9/(D8*1E6)</f>
        <v>1383.6101383170205</v>
      </c>
      <c r="E10" s="31">
        <f>E7*1E9/(E8*1E6)</f>
        <v>1590.5503747622236</v>
      </c>
    </row>
    <row r="11">
      <c r="A11" s="26" t="inlineStr">
        <is>
          <t>Return on average equity</t>
        </is>
      </c>
      <c r="B11" s="2" t="inlineStr">
        <is>
          <t>%</t>
        </is>
      </c>
      <c r="C11" s="28">
        <f>C5/AVERAGE(eq_dec25,C7)</f>
        <v>0.16094851930432358</v>
      </c>
      <c r="D11" s="28">
        <f>D5/AVERAGE(C7,D7)</f>
        <v>0.16789568992662054</v>
      </c>
      <c r="E11" s="28">
        <f>E5/AVERAGE(D7,E7)</f>
        <v>0.16837247174520414</v>
      </c>
    </row>
    <row r="13">
      <c r="A13" s="3" t="inlineStr">
        <is>
          <t>Rights issue at the base case</t>
        </is>
      </c>
      <c r="B13" s="4" t="inlineStr">
        <is>
          <t>Unit</t>
        </is>
      </c>
      <c r="C13" s="4" t="inlineStr">
        <is>
          <t>2026E</t>
        </is>
      </c>
      <c r="D13" s="4" t="inlineStr">
        <is>
          <t>2027E</t>
        </is>
      </c>
      <c r="E13" s="4" t="inlineStr">
        <is>
          <t>2028E</t>
        </is>
      </c>
    </row>
    <row r="14">
      <c r="A14" s="5" t="inlineStr">
        <is>
          <t>Net proceeds received</t>
        </is>
      </c>
      <c r="B14" s="2" t="inlineStr">
        <is>
          <t>Rp bn</t>
        </is>
      </c>
      <c r="C14" s="27" t="n">
        <v>0</v>
      </c>
      <c r="D14" s="29">
        <f>ri_new*ri_px*(1-ri_cost)/1E9</f>
        <v>7405.2</v>
      </c>
      <c r="E14" s="27" t="n">
        <v>0</v>
      </c>
    </row>
    <row r="15">
      <c r="A15" s="5" t="inlineStr">
        <is>
          <t>After-tax return on proceeds</t>
        </is>
      </c>
      <c r="B15" s="2" t="inlineStr">
        <is>
          <t>%</t>
        </is>
      </c>
      <c r="C15" s="38" t="n">
        <v>0</v>
      </c>
      <c r="D15" s="28">
        <f>r_idle</f>
        <v>0.047</v>
      </c>
      <c r="E15" s="28">
        <f>r_deploy</f>
        <v>0.1</v>
      </c>
    </row>
    <row r="16">
      <c r="A16" s="5" t="inlineStr">
        <is>
          <t>Share of the year the proceeds are held</t>
        </is>
      </c>
      <c r="B16" s="2" t="inlineStr">
        <is>
          <t>%</t>
        </is>
      </c>
      <c r="C16" s="38" t="n">
        <v>0</v>
      </c>
      <c r="D16" s="28">
        <f>ri_frac27</f>
        <v>0.75</v>
      </c>
      <c r="E16" s="38" t="n">
        <v>1</v>
      </c>
    </row>
    <row r="17">
      <c r="A17" s="5" t="inlineStr">
        <is>
          <t>Extra profit from the proceeds</t>
        </is>
      </c>
      <c r="B17" s="2" t="inlineStr">
        <is>
          <t>Rp bn</t>
        </is>
      </c>
      <c r="C17" s="27" t="n">
        <v>0</v>
      </c>
      <c r="D17" s="29">
        <f>$D$14*D15*D16</f>
        <v>261.0333</v>
      </c>
      <c r="E17" s="29">
        <f>$D$14*E15*E16</f>
        <v>740.52</v>
      </c>
    </row>
    <row r="18">
      <c r="A18" s="5" t="inlineStr">
        <is>
          <t>Net profit</t>
        </is>
      </c>
      <c r="B18" s="2" t="inlineStr">
        <is>
          <t>Rp bn</t>
        </is>
      </c>
      <c r="C18" s="29">
        <f>C5+C17</f>
        <v>8650.0</v>
      </c>
      <c r="D18" s="29">
        <f>D5+D17</f>
        <v>10281.0333</v>
      </c>
      <c r="E18" s="29">
        <f>E5+E17</f>
        <v>12290.52</v>
      </c>
    </row>
    <row r="19">
      <c r="A19" s="5" t="inlineStr">
        <is>
          <t>Dividends paid in the year</t>
        </is>
      </c>
      <c r="B19" s="2" t="inlineStr">
        <is>
          <t>Rp bn</t>
        </is>
      </c>
      <c r="C19" s="29">
        <f>div_fy25</f>
        <v>1513.505</v>
      </c>
      <c r="D19" s="29">
        <f>payout*C18</f>
        <v>1730.0</v>
      </c>
      <c r="E19" s="29">
        <f>payout*D18</f>
        <v>2056.20666</v>
      </c>
    </row>
    <row r="20">
      <c r="A20" s="5" t="inlineStr">
        <is>
          <t>Equity at year end</t>
        </is>
      </c>
      <c r="B20" s="2" t="inlineStr">
        <is>
          <t>Rp bn</t>
        </is>
      </c>
      <c r="C20" s="29">
        <f>C7</f>
        <v>55534.912</v>
      </c>
      <c r="D20" s="29">
        <f>C20+D18-D19+D14</f>
        <v>71491.14529999999</v>
      </c>
      <c r="E20" s="29">
        <f>D20+E18-E19</f>
        <v>81725.45864</v>
      </c>
    </row>
    <row r="21">
      <c r="A21" s="5" t="inlineStr">
        <is>
          <t>Shares at year end</t>
        </is>
      </c>
      <c r="B21" s="2" t="inlineStr">
        <is>
          <t>m</t>
        </is>
      </c>
      <c r="C21" s="29">
        <f>sh_out/1E6</f>
        <v>46129.260138</v>
      </c>
      <c r="D21" s="29">
        <f>(sh_out+ri_new)/1E6</f>
        <v>52929.260138</v>
      </c>
      <c r="E21" s="29">
        <f>(sh_out+ri_new)/1E6</f>
        <v>52929.260138</v>
      </c>
    </row>
    <row r="22">
      <c r="A22" s="5" t="inlineStr">
        <is>
          <t>Weighted average shares</t>
        </is>
      </c>
      <c r="B22" s="2" t="inlineStr">
        <is>
          <t>m</t>
        </is>
      </c>
      <c r="C22" s="29">
        <f>C21</f>
        <v>46129.260138</v>
      </c>
      <c r="D22" s="29">
        <f>(sh_out+ri_new*ri_frac27)/1E6</f>
        <v>51229.260138</v>
      </c>
      <c r="E22" s="29">
        <f>E21</f>
        <v>52929.260138</v>
      </c>
    </row>
    <row r="23">
      <c r="A23" s="5" t="inlineStr">
        <is>
          <t>Earnings per share</t>
        </is>
      </c>
      <c r="B23" s="2" t="inlineStr">
        <is>
          <t>Rp</t>
        </is>
      </c>
      <c r="C23" s="31">
        <f>C18*1E9/(C22*1E6)</f>
        <v>187.51655617546683</v>
      </c>
      <c r="D23" s="31">
        <f>D18*1E9/(D22*1E6)</f>
        <v>200.68674176252458</v>
      </c>
      <c r="E23" s="31">
        <f>E18*1E9/(E22*1E6)</f>
        <v>232.20653317192605</v>
      </c>
    </row>
    <row r="24">
      <c r="A24" s="5" t="inlineStr">
        <is>
          <t>Book value per share</t>
        </is>
      </c>
      <c r="B24" s="2" t="inlineStr">
        <is>
          <t>Rp</t>
        </is>
      </c>
      <c r="C24" s="31">
        <f>C20*1E9/(C21*1E6)</f>
        <v>1203.897739392787</v>
      </c>
      <c r="D24" s="31">
        <f>D20*1E9/(D21*1E6)</f>
        <v>1350.6923224243915</v>
      </c>
      <c r="E24" s="31">
        <f>E20*1E9/(E21*1E6)</f>
        <v>1544.0506522653257</v>
      </c>
    </row>
    <row r="25">
      <c r="A25" s="26" t="inlineStr">
        <is>
          <t>Return on average equity</t>
        </is>
      </c>
      <c r="B25" s="2" t="inlineStr">
        <is>
          <t>%</t>
        </is>
      </c>
      <c r="C25" s="28">
        <f>C18/AVERAGE(eq_dec25,C20)</f>
        <v>0.16094851930432358</v>
      </c>
      <c r="D25" s="28">
        <f>D18/(AVERAGE(C20,D20-D14)+D14*ri_frac27)</f>
        <v>0.15728813425210633</v>
      </c>
      <c r="E25" s="28">
        <f>E18/AVERAGE(D20,E20)</f>
        <v>0.16043326485441484</v>
      </c>
    </row>
    <row r="26">
      <c r="A26" s="5" t="inlineStr">
        <is>
          <t>EPS vs no rights issue</t>
        </is>
      </c>
      <c r="B26" s="2" t="inlineStr">
        <is>
          <t>%</t>
        </is>
      </c>
      <c r="C26" s="28">
        <f>C23/C9-1</f>
        <v>0.0</v>
      </c>
      <c r="D26" s="28">
        <f>D23/D9-1</f>
        <v>-0.07609471886116526</v>
      </c>
      <c r="E26" s="28">
        <f>E23/E9-1</f>
        <v>-0.07259605416182646</v>
      </c>
    </row>
    <row r="27">
      <c r="A27" s="5" t="inlineStr">
        <is>
          <t>Book value per share vs no rights issue</t>
        </is>
      </c>
      <c r="B27" s="2" t="inlineStr">
        <is>
          <t>%</t>
        </is>
      </c>
      <c r="C27" s="28">
        <f>C24/C10-1</f>
        <v>0.0</v>
      </c>
      <c r="D27" s="28">
        <f>D24/D10-1</f>
        <v>-0.023791250859631075</v>
      </c>
      <c r="E27" s="28">
        <f>E24/E10-1</f>
        <v>-0.029234988865944778</v>
      </c>
    </row>
    <row r="28">
      <c r="A28" s="5" t="inlineStr">
        <is>
          <t>ROAE vs no rights issue (percentage points)</t>
        </is>
      </c>
      <c r="B28" s="2" t="inlineStr">
        <is>
          <t>pp</t>
        </is>
      </c>
      <c r="C28" s="50">
        <f>(C25-C11)*100</f>
        <v>0.0</v>
      </c>
      <c r="D28" s="50">
        <f>(D25-D11)*100</f>
        <v>-1.0607555674514213</v>
      </c>
      <c r="E28" s="50">
        <f>(E25-E11)*100</f>
        <v>-0.7939206890789308</v>
      </c>
    </row>
    <row r="30">
      <c r="A30" s="2" t="inlineStr">
        <is>
          <t>2026E equity = 30-Jun-2026 equity plus second-half profit (the FY2025 dividend was paid in May). OCI is held at zero.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Valuation</t>
        </is>
      </c>
    </row>
    <row r="2">
      <c r="A2" s="2" t="inlineStr">
        <is>
          <t>Justified P/B = (ROE - g) / (cost of equity - g). Fair value = justified P/B x book value per share. Implied cost of equity = g + (ROE - g) / P/B.</t>
        </is>
      </c>
    </row>
    <row r="4">
      <c r="A4" s="3" t="inlineStr"/>
      <c r="B4" s="4" t="inlineStr">
        <is>
          <t>Unit</t>
        </is>
      </c>
      <c r="C4" s="4" t="inlineStr">
        <is>
          <t>Today</t>
        </is>
      </c>
      <c r="D4" s="4" t="inlineStr">
        <is>
          <t>With issue</t>
        </is>
      </c>
      <c r="E4" s="4" t="inlineStr">
        <is>
          <t>No issue</t>
        </is>
      </c>
    </row>
    <row r="5">
      <c r="A5" s="5" t="inlineStr">
        <is>
          <t>Return on equity used</t>
        </is>
      </c>
      <c r="B5" s="2" t="inlineStr">
        <is>
          <t>%</t>
        </is>
      </c>
      <c r="C5" s="28">
        <f>roe_now</f>
        <v>0.16139695036079707</v>
      </c>
      <c r="D5" s="28">
        <f>roe28_ri</f>
        <v>0.16043326485441484</v>
      </c>
      <c r="E5" s="28">
        <f>roe28_nori</f>
        <v>0.16837247174520414</v>
      </c>
    </row>
    <row r="6">
      <c r="A6" s="5" t="inlineStr">
        <is>
          <t>Cost of equity</t>
        </is>
      </c>
      <c r="B6" s="2" t="inlineStr">
        <is>
          <t>%</t>
        </is>
      </c>
      <c r="C6" s="28">
        <f>coe</f>
        <v>0.135</v>
      </c>
      <c r="D6" s="28">
        <f>coe</f>
        <v>0.135</v>
      </c>
      <c r="E6" s="28">
        <f>coe</f>
        <v>0.135</v>
      </c>
    </row>
    <row r="7">
      <c r="A7" s="5" t="inlineStr">
        <is>
          <t>Long-run growth</t>
        </is>
      </c>
      <c r="B7" s="2" t="inlineStr">
        <is>
          <t>%</t>
        </is>
      </c>
      <c r="C7" s="28">
        <f>g_lr</f>
        <v>0.07</v>
      </c>
      <c r="D7" s="28">
        <f>g_lr</f>
        <v>0.07</v>
      </c>
      <c r="E7" s="28">
        <f>g_lr</f>
        <v>0.07</v>
      </c>
    </row>
    <row r="8">
      <c r="A8" s="26" t="inlineStr">
        <is>
          <t>Justified P/B</t>
        </is>
      </c>
      <c r="B8" s="2" t="inlineStr">
        <is>
          <t>x</t>
        </is>
      </c>
      <c r="C8" s="33">
        <f>(C5-C7)/(C6-C7)</f>
        <v>1.406106928627647</v>
      </c>
      <c r="D8" s="33">
        <f>(D5-D7)/(D6-D7)</f>
        <v>1.391280997760228</v>
      </c>
      <c r="E8" s="33">
        <f>(E5-E7)/(E6-E7)</f>
        <v>1.5134226422339097</v>
      </c>
    </row>
    <row r="9">
      <c r="A9" s="5" t="inlineStr">
        <is>
          <t>Book value per share used (Jun-26, pro forma for the issue)</t>
        </is>
      </c>
      <c r="B9" s="2" t="inlineStr">
        <is>
          <t>Rp</t>
        </is>
      </c>
      <c r="C9" s="31">
        <f>bvps_now</f>
        <v>1106.4695346794465</v>
      </c>
      <c r="D9" s="9">
        <f>RI_Mechanics!I16</f>
        <v>1104.2251648259758</v>
      </c>
      <c r="E9" s="31">
        <f>bvps_now</f>
        <v>1106.4695346794465</v>
      </c>
    </row>
    <row r="10">
      <c r="A10" s="26" t="inlineStr">
        <is>
          <t>Fair value per share</t>
        </is>
      </c>
      <c r="B10" s="2" t="inlineStr">
        <is>
          <t>Rp</t>
        </is>
      </c>
      <c r="C10" s="29">
        <f>C8*C9</f>
        <v>1555.8144790281783</v>
      </c>
      <c r="D10" s="29">
        <f>D8*D9</f>
        <v>1536.287489071036</v>
      </c>
      <c r="E10" s="29">
        <f>E8*E9</f>
        <v>1674.5560467258924</v>
      </c>
    </row>
    <row r="11">
      <c r="A11" s="5" t="inlineStr">
        <is>
          <t>vs last close</t>
        </is>
      </c>
      <c r="B11" s="2" t="inlineStr">
        <is>
          <t>%</t>
        </is>
      </c>
      <c r="C11" s="28">
        <f>C10/px_last-1</f>
        <v>0.09564399931561862</v>
      </c>
      <c r="D11" s="28">
        <f>D10/px_last-1</f>
        <v>0.08189259793734927</v>
      </c>
      <c r="E11" s="28">
        <f>E10/px_last-1</f>
        <v>0.17926482163795243</v>
      </c>
    </row>
    <row r="12">
      <c r="A12" s="5" t="inlineStr">
        <is>
          <t>Cost of equity the market implies at today's P/B</t>
        </is>
      </c>
      <c r="B12" s="2" t="inlineStr">
        <is>
          <t>%</t>
        </is>
      </c>
      <c r="C12" s="28">
        <f>g_lr+(roe_now-g_lr)/pb_now</f>
        <v>0.14121685995551522</v>
      </c>
    </row>
    <row r="13">
      <c r="A13" s="2" t="inlineStr">
        <is>
          <t>With issue / No issue use the 2028E ROE from Projections; book value is 30-Jun-2026, pro forma for the issue at the base-case price.</t>
        </is>
      </c>
    </row>
    <row r="14">
      <c r="A14" s="11" t="inlineStr">
        <is>
          <t>Fair value per share (Rp) on pro forma book value: ROE down, cost of equity across</t>
        </is>
      </c>
    </row>
    <row r="15">
      <c r="A15" s="3" t="inlineStr">
        <is>
          <t>ROE \ cost of equity</t>
        </is>
      </c>
      <c r="B15" s="49" t="n">
        <v>0.12</v>
      </c>
      <c r="C15" s="49" t="n">
        <v>0.125</v>
      </c>
      <c r="D15" s="49" t="n">
        <v>0.13</v>
      </c>
      <c r="E15" s="49" t="n">
        <v>0.135</v>
      </c>
      <c r="F15" s="49" t="n">
        <v>0.14</v>
      </c>
      <c r="G15" s="49" t="n">
        <v>0.15</v>
      </c>
      <c r="H15" s="49" t="n">
        <v>0.16</v>
      </c>
    </row>
    <row r="16">
      <c r="A16" s="49" t="n">
        <v>0.13</v>
      </c>
      <c r="B16" s="29">
        <f>($A16-g_lr)/(B$15-g_lr)*RI_Mechanics!$I$16</f>
        <v>1325.070197791171</v>
      </c>
      <c r="C16" s="29">
        <f>($A16-g_lr)/(C$15-g_lr)*RI_Mechanics!$I$16</f>
        <v>1204.6092707192465</v>
      </c>
      <c r="D16" s="29">
        <f>($A16-g_lr)/(D$15-g_lr)*RI_Mechanics!$I$16</f>
        <v>1104.2251648259758</v>
      </c>
      <c r="E16" s="29">
        <f>($A16-g_lr)/(E$15-g_lr)*RI_Mechanics!$I$16</f>
        <v>1019.2847675316699</v>
      </c>
      <c r="F16" s="29">
        <f>($A16-g_lr)/(F$15-g_lr)*RI_Mechanics!$I$16</f>
        <v>946.4787127079791</v>
      </c>
      <c r="G16" s="29">
        <f>($A16-g_lr)/(G$15-g_lr)*RI_Mechanics!$I$16</f>
        <v>828.1688736194819</v>
      </c>
      <c r="H16" s="29">
        <f>($A16-g_lr)/(H$15-g_lr)*RI_Mechanics!$I$16</f>
        <v>736.1501098839838</v>
      </c>
    </row>
    <row r="17">
      <c r="A17" s="49" t="n">
        <v>0.14</v>
      </c>
      <c r="B17" s="29">
        <f>($A17-g_lr)/(B$15-g_lr)*RI_Mechanics!$I$16</f>
        <v>1545.9152307563666</v>
      </c>
      <c r="C17" s="29">
        <f>($A17-g_lr)/(C$15-g_lr)*RI_Mechanics!$I$16</f>
        <v>1405.3774825057876</v>
      </c>
      <c r="D17" s="29">
        <f>($A17-g_lr)/(D$15-g_lr)*RI_Mechanics!$I$16</f>
        <v>1288.2626922969719</v>
      </c>
      <c r="E17" s="29">
        <f>($A17-g_lr)/(E$15-g_lr)*RI_Mechanics!$I$16</f>
        <v>1189.1655621202817</v>
      </c>
      <c r="F17" s="29">
        <f>($A17-g_lr)/(F$15-g_lr)*RI_Mechanics!$I$16</f>
        <v>1104.2251648259758</v>
      </c>
      <c r="G17" s="29">
        <f>($A17-g_lr)/(G$15-g_lr)*RI_Mechanics!$I$16</f>
        <v>966.1970192227291</v>
      </c>
      <c r="H17" s="29">
        <f>($A17-g_lr)/(H$15-g_lr)*RI_Mechanics!$I$16</f>
        <v>858.8417948646479</v>
      </c>
    </row>
    <row r="18">
      <c r="A18" s="49" t="n">
        <v>0.15</v>
      </c>
      <c r="B18" s="29">
        <f>($A18-g_lr)/(B$15-g_lr)*RI_Mechanics!$I$16</f>
        <v>1766.7602637215614</v>
      </c>
      <c r="C18" s="29">
        <f>($A18-g_lr)/(C$15-g_lr)*RI_Mechanics!$I$16</f>
        <v>1606.1456942923285</v>
      </c>
      <c r="D18" s="29">
        <f>($A18-g_lr)/(D$15-g_lr)*RI_Mechanics!$I$16</f>
        <v>1472.3002197679675</v>
      </c>
      <c r="E18" s="29">
        <f>($A18-g_lr)/(E$15-g_lr)*RI_Mechanics!$I$16</f>
        <v>1359.046356708893</v>
      </c>
      <c r="F18" s="29">
        <f>($A18-g_lr)/(F$15-g_lr)*RI_Mechanics!$I$16</f>
        <v>1261.9716169439719</v>
      </c>
      <c r="G18" s="29">
        <f>($A18-g_lr)/(G$15-g_lr)*RI_Mechanics!$I$16</f>
        <v>1104.2251648259758</v>
      </c>
      <c r="H18" s="29">
        <f>($A18-g_lr)/(H$15-g_lr)*RI_Mechanics!$I$16</f>
        <v>981.5334798453117</v>
      </c>
    </row>
    <row r="19">
      <c r="A19" s="49" t="n">
        <v>0.16</v>
      </c>
      <c r="B19" s="29">
        <f>($A19-g_lr)/(B$15-g_lr)*RI_Mechanics!$I$16</f>
        <v>1987.6052966867567</v>
      </c>
      <c r="C19" s="29">
        <f>($A19-g_lr)/(C$15-g_lr)*RI_Mechanics!$I$16</f>
        <v>1806.9139060788696</v>
      </c>
      <c r="D19" s="29">
        <f>($A19-g_lr)/(D$15-g_lr)*RI_Mechanics!$I$16</f>
        <v>1656.3377472389636</v>
      </c>
      <c r="E19" s="29">
        <f>($A19-g_lr)/(E$15-g_lr)*RI_Mechanics!$I$16</f>
        <v>1528.927151297505</v>
      </c>
      <c r="F19" s="29">
        <f>($A19-g_lr)/(F$15-g_lr)*RI_Mechanics!$I$16</f>
        <v>1419.7180690619687</v>
      </c>
      <c r="G19" s="29">
        <f>($A19-g_lr)/(G$15-g_lr)*RI_Mechanics!$I$16</f>
        <v>1242.253310429223</v>
      </c>
      <c r="H19" s="29">
        <f>($A19-g_lr)/(H$15-g_lr)*RI_Mechanics!$I$16</f>
        <v>1104.2251648259758</v>
      </c>
    </row>
    <row r="20">
      <c r="A20" s="49" t="n">
        <v>0.17</v>
      </c>
      <c r="B20" s="29">
        <f>($A20-g_lr)/(B$15-g_lr)*RI_Mechanics!$I$16</f>
        <v>2208.450329651952</v>
      </c>
      <c r="C20" s="29">
        <f>($A20-g_lr)/(C$15-g_lr)*RI_Mechanics!$I$16</f>
        <v>2007.6821178654109</v>
      </c>
      <c r="D20" s="29">
        <f>($A20-g_lr)/(D$15-g_lr)*RI_Mechanics!$I$16</f>
        <v>1840.3752747099597</v>
      </c>
      <c r="E20" s="29">
        <f>($A20-g_lr)/(E$15-g_lr)*RI_Mechanics!$I$16</f>
        <v>1698.8079458861166</v>
      </c>
      <c r="F20" s="29">
        <f>($A20-g_lr)/(F$15-g_lr)*RI_Mechanics!$I$16</f>
        <v>1577.4645211799655</v>
      </c>
      <c r="G20" s="29">
        <f>($A20-g_lr)/(G$15-g_lr)*RI_Mechanics!$I$16</f>
        <v>1380.28145603247</v>
      </c>
      <c r="H20" s="29">
        <f>($A20-g_lr)/(H$15-g_lr)*RI_Mechanics!$I$16</f>
        <v>1226.9168498066397</v>
      </c>
    </row>
    <row r="21">
      <c r="A21" s="49" t="n">
        <v>0.18</v>
      </c>
      <c r="B21" s="29">
        <f>($A21-g_lr)/(B$15-g_lr)*RI_Mechanics!$I$16</f>
        <v>2429.295362617147</v>
      </c>
      <c r="C21" s="29">
        <f>($A21-g_lr)/(C$15-g_lr)*RI_Mechanics!$I$16</f>
        <v>2208.4503296519515</v>
      </c>
      <c r="D21" s="29">
        <f>($A21-g_lr)/(D$15-g_lr)*RI_Mechanics!$I$16</f>
        <v>2024.4128021809554</v>
      </c>
      <c r="E21" s="29">
        <f>($A21-g_lr)/(E$15-g_lr)*RI_Mechanics!$I$16</f>
        <v>1868.6887404747279</v>
      </c>
      <c r="F21" s="29">
        <f>($A21-g_lr)/(F$15-g_lr)*RI_Mechanics!$I$16</f>
        <v>1735.2109732979616</v>
      </c>
      <c r="G21" s="29">
        <f>($A21-g_lr)/(G$15-g_lr)*RI_Mechanics!$I$16</f>
        <v>1518.3096016357167</v>
      </c>
      <c r="H21" s="29">
        <f>($A21-g_lr)/(H$15-g_lr)*RI_Mechanics!$I$16</f>
        <v>1349.6085347873036</v>
      </c>
    </row>
    <row r="22">
      <c r="A22" s="49" t="n">
        <v>0.19</v>
      </c>
      <c r="B22" s="29">
        <f>($A22-g_lr)/(B$15-g_lr)*RI_Mechanics!$I$16</f>
        <v>2650.140395582342</v>
      </c>
      <c r="C22" s="29">
        <f>($A22-g_lr)/(C$15-g_lr)*RI_Mechanics!$I$16</f>
        <v>2409.218541438493</v>
      </c>
      <c r="D22" s="29">
        <f>($A22-g_lr)/(D$15-g_lr)*RI_Mechanics!$I$16</f>
        <v>2208.4503296519515</v>
      </c>
      <c r="E22" s="29">
        <f>($A22-g_lr)/(E$15-g_lr)*RI_Mechanics!$I$16</f>
        <v>2038.5695350633398</v>
      </c>
      <c r="F22" s="29">
        <f>($A22-g_lr)/(F$15-g_lr)*RI_Mechanics!$I$16</f>
        <v>1892.9574254159581</v>
      </c>
      <c r="G22" s="29">
        <f>($A22-g_lr)/(G$15-g_lr)*RI_Mechanics!$I$16</f>
        <v>1656.3377472389639</v>
      </c>
      <c r="H22" s="29">
        <f>($A22-g_lr)/(H$15-g_lr)*RI_Mechanics!$I$16</f>
        <v>1472.3002197679675</v>
      </c>
    </row>
    <row r="24">
      <c r="A24" s="2" t="inlineStr">
        <is>
          <t>Green: at or above the 30-Sep-2026 close.</t>
        </is>
      </c>
    </row>
    <row r="26">
      <c r="A26" s="3" t="inlineStr">
        <is>
          <t>Indonesian banks (StockMap bank models, Q2-26)</t>
        </is>
      </c>
      <c r="B26" s="4" t="inlineStr">
        <is>
          <t>Price (Rp)</t>
        </is>
      </c>
      <c r="C26" s="4" t="inlineStr">
        <is>
          <t>P/B</t>
        </is>
      </c>
      <c r="D26" s="4" t="inlineStr">
        <is>
          <t>ROAE</t>
        </is>
      </c>
      <c r="E26" s="4" t="inlineStr">
        <is>
          <t>P/E</t>
        </is>
      </c>
      <c r="F26" s="4" t="inlineStr">
        <is>
          <t>Implied cost of equity</t>
        </is>
      </c>
    </row>
    <row r="27">
      <c r="A27" s="5" t="inlineStr">
        <is>
          <t>BBCA  Bank Central Asia</t>
        </is>
      </c>
      <c r="B27" s="27" t="n">
        <v>6075</v>
      </c>
      <c r="C27" s="51" t="n">
        <v>2.4956</v>
      </c>
      <c r="D27" s="38" t="n">
        <v>0.225</v>
      </c>
      <c r="E27" s="51" t="n">
        <v>12.3123</v>
      </c>
      <c r="F27" s="28">
        <f>g_lr+(D27-g_lr)/C27</f>
        <v>0.13210931238980606</v>
      </c>
    </row>
    <row r="28">
      <c r="A28" s="5" t="inlineStr">
        <is>
          <t>MEGA  Bank Mega</t>
        </is>
      </c>
      <c r="B28" s="27" t="n">
        <v>1935</v>
      </c>
      <c r="C28" s="51" t="n">
        <v>1.9208</v>
      </c>
      <c r="D28" s="38" t="n">
        <v>0.1075</v>
      </c>
      <c r="E28" s="51" t="n">
        <v>17.7033</v>
      </c>
      <c r="F28" s="28">
        <f>g_lr+(D28-g_lr)/C28</f>
        <v>0.08952311536859642</v>
      </c>
    </row>
    <row r="29">
      <c r="A29" s="5" t="inlineStr">
        <is>
          <t>BNLI  Bank Permata</t>
        </is>
      </c>
      <c r="B29" s="27" t="n">
        <v>1875</v>
      </c>
      <c r="C29" s="51" t="n">
        <v>1.445</v>
      </c>
      <c r="D29" s="38" t="n">
        <v>0.0703</v>
      </c>
      <c r="E29" s="51" t="n">
        <v>19.2823</v>
      </c>
      <c r="F29" s="28">
        <f>g_lr+(D29-g_lr)/C29</f>
        <v>0.0702076124567474</v>
      </c>
    </row>
    <row r="30">
      <c r="A30" s="5" t="inlineStr">
        <is>
          <t>BBRI  Bank Rakyat Indonesia</t>
        </is>
      </c>
      <c r="B30" s="27" t="n">
        <v>3140</v>
      </c>
      <c r="C30" s="51" t="n">
        <v>1.3297</v>
      </c>
      <c r="D30" s="38" t="n">
        <v>0.1868</v>
      </c>
      <c r="E30" s="51" t="n">
        <v>7.3037</v>
      </c>
      <c r="F30" s="28">
        <f>g_lr+(D30-g_lr)/C30</f>
        <v>0.15783936226216438</v>
      </c>
    </row>
    <row r="31">
      <c r="A31" s="5" t="inlineStr">
        <is>
          <t>BMRI  Bank Mandiri</t>
        </is>
      </c>
      <c r="B31" s="27" t="n">
        <v>4010</v>
      </c>
      <c r="C31" s="51" t="n">
        <v>1.2455</v>
      </c>
      <c r="D31" s="38" t="n">
        <v>0.2045</v>
      </c>
      <c r="E31" s="51" t="n">
        <v>5.8885</v>
      </c>
      <c r="F31" s="28">
        <f>g_lr+(D31-g_lr)/C31</f>
        <v>0.17798875953432355</v>
      </c>
    </row>
    <row r="32">
      <c r="A32" s="5" t="inlineStr">
        <is>
          <t>BDMN  Bank Danamon Indonesia</t>
        </is>
      </c>
      <c r="B32" s="27" t="n">
        <v>4450</v>
      </c>
      <c r="C32" s="51" t="n">
        <v>0.7628</v>
      </c>
      <c r="D32" s="38" t="n">
        <v>0.0936</v>
      </c>
      <c r="E32" s="51" t="n">
        <v>8.546799999999999</v>
      </c>
      <c r="F32" s="28">
        <f>g_lr+(D32-g_lr)/C32</f>
        <v>0.10093864708966964</v>
      </c>
    </row>
    <row r="33">
      <c r="A33" s="5" t="inlineStr">
        <is>
          <t>BNGA  Bank CIMB Niaga</t>
        </is>
      </c>
      <c r="B33" s="27" t="n">
        <v>1720</v>
      </c>
      <c r="C33" s="51" t="n">
        <v>0.7261</v>
      </c>
      <c r="D33" s="38" t="n">
        <v>0.1166</v>
      </c>
      <c r="E33" s="51" t="n">
        <v>6.2827</v>
      </c>
      <c r="F33" s="28">
        <f>g_lr+(D33-g_lr)/C33</f>
        <v>0.1341784878115962</v>
      </c>
    </row>
    <row r="34">
      <c r="A34" s="5" t="inlineStr">
        <is>
          <t>BBNI  Bank Negara Indonesia</t>
        </is>
      </c>
      <c r="B34" s="27" t="n">
        <v>3390</v>
      </c>
      <c r="C34" s="51" t="n">
        <v>0.7258</v>
      </c>
      <c r="D34" s="38" t="n">
        <v>0.1274</v>
      </c>
      <c r="E34" s="51" t="n">
        <v>5.4528</v>
      </c>
      <c r="F34" s="28">
        <f>g_lr+(D34-g_lr)/C34</f>
        <v>0.14908514742353268</v>
      </c>
    </row>
    <row r="35">
      <c r="A35" s="5" t="inlineStr">
        <is>
          <t>NISP  Bank OCBC NISP</t>
        </is>
      </c>
      <c r="B35" s="27" t="n">
        <v>1250</v>
      </c>
      <c r="C35" s="51" t="n">
        <v>0.6264</v>
      </c>
      <c r="D35" s="38" t="n">
        <v>0.1235</v>
      </c>
      <c r="E35" s="51" t="n">
        <v>5.0814</v>
      </c>
      <c r="F35" s="28">
        <f>g_lr+(D35-g_lr)/C35</f>
        <v>0.15540868454661558</v>
      </c>
    </row>
    <row r="36">
      <c r="A36" s="5" t="inlineStr">
        <is>
          <t>BBTN  Bank Tabungan Negara</t>
        </is>
      </c>
      <c r="B36" s="27" t="n">
        <v>1070</v>
      </c>
      <c r="C36" s="51" t="n">
        <v>0.3818</v>
      </c>
      <c r="D36" s="38" t="n">
        <v>0.1397</v>
      </c>
      <c r="E36" s="51" t="n">
        <v>2.9743</v>
      </c>
      <c r="F36" s="28">
        <f>g_lr+(D36-g_lr)/C36</f>
        <v>0.2525563122053431</v>
      </c>
    </row>
    <row r="37">
      <c r="A37" s="26" t="inlineStr">
        <is>
          <t>BRIS  Bank Syariah Indonesia</t>
        </is>
      </c>
      <c r="B37" s="6">
        <f>px_last</f>
        <v>1420.0</v>
      </c>
      <c r="C37" s="8">
        <f>pb_now</f>
        <v>1.2833611369258222</v>
      </c>
      <c r="D37" s="7">
        <f>roe_now</f>
        <v>0.16139695036079707</v>
      </c>
      <c r="E37" s="8">
        <f>pe_ttm</f>
        <v>8.206403980248568</v>
      </c>
      <c r="F37" s="52">
        <f>g_lr+(D37-g_lr)/C37</f>
        <v>0.14121685995551522</v>
      </c>
    </row>
    <row r="39">
      <c r="A39" s="2" t="inlineStr">
        <is>
          <t>Peer figures are inputs copied from the StockMap bank models (30-Sep-2026 prices, ROAE on Q2-26 statements). Implied cost of equity is not meaningful where ROE is near g.</t>
        </is>
      </c>
    </row>
  </sheetData>
  <conditionalFormatting sqref="B16:H22">
    <cfRule type="cellIs" priority="1" operator="greaterThanOrEqual" dxfId="1">
      <formula>Inputs!$B$6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Precedent: rights issue I (2022)</t>
        </is>
      </c>
    </row>
    <row r="2">
      <c r="A2" s="2" t="inlineStr">
        <is>
          <t>Disclosed 16-Aug-2022, approved at the 23-Sep-2022 EGM for up to 6.0bn shares; 5.0bn issued at Rp1,000 in December 2022. Prices are traded prices (Yahoo adjusts pre-ex-date prices by 0.97531; undone here).</t>
        </is>
      </c>
    </row>
    <row r="4">
      <c r="A4" s="3" t="inlineStr">
        <is>
          <t>Item</t>
        </is>
      </c>
      <c r="B4" s="4" t="inlineStr">
        <is>
          <t>Value</t>
        </is>
      </c>
      <c r="C4" s="4" t="inlineStr">
        <is>
          <t>Unit</t>
        </is>
      </c>
      <c r="D4" s="4" t="inlineStr">
        <is>
          <t>Source / note</t>
        </is>
      </c>
    </row>
    <row r="5">
      <c r="A5" s="5" t="inlineStr">
        <is>
          <t>Shares before</t>
        </is>
      </c>
      <c r="B5" s="15" t="n">
        <v>41129656026</v>
      </c>
      <c r="C5" s="2" t="inlineStr">
        <is>
          <t>shares</t>
        </is>
      </c>
      <c r="D5" s="2" t="inlineStr">
        <is>
          <t>Implied by Yahoo adjustment factor and today's count; matches 46.13bn less 5.0bn issued</t>
        </is>
      </c>
    </row>
    <row r="6">
      <c r="A6" s="5" t="inlineStr">
        <is>
          <t>New shares issued</t>
        </is>
      </c>
      <c r="B6" s="15" t="n">
        <v>4999604112</v>
      </c>
      <c r="C6" s="2" t="inlineStr">
        <is>
          <t>shares</t>
        </is>
      </c>
      <c r="D6" s="2" t="inlineStr">
        <is>
          <t>Shares outstanding after less before</t>
        </is>
      </c>
    </row>
    <row r="7">
      <c r="A7" s="5" t="inlineStr">
        <is>
          <t>Maximum approved</t>
        </is>
      </c>
      <c r="B7" s="15" t="n">
        <v>6000000000</v>
      </c>
      <c r="C7" s="2" t="inlineStr">
        <is>
          <t>shares</t>
        </is>
      </c>
      <c r="D7" s="2" t="inlineStr">
        <is>
          <t>BSI Keterbukaan Informasi PMHMETD I (2022)</t>
        </is>
      </c>
    </row>
    <row r="8">
      <c r="A8" s="5" t="inlineStr">
        <is>
          <t>Exercise price</t>
        </is>
      </c>
      <c r="B8" s="15" t="n">
        <v>1000</v>
      </c>
      <c r="C8" s="2" t="inlineStr">
        <is>
          <t>Rp</t>
        </is>
      </c>
      <c r="D8" s="2" t="inlineStr">
        <is>
          <t>Bisnis.com / Katadata, Dec-2022</t>
        </is>
      </c>
    </row>
    <row r="9">
      <c r="A9" s="5" t="inlineStr">
        <is>
          <t>Close on 16-Aug-2022 (disclosure published)</t>
        </is>
      </c>
      <c r="B9" s="15" t="n">
        <v>1525</v>
      </c>
      <c r="C9" s="2" t="inlineStr">
        <is>
          <t>Rp</t>
        </is>
      </c>
      <c r="D9" s="2" t="inlineStr">
        <is>
          <t>Yahoo daily bar, unadjusted</t>
        </is>
      </c>
    </row>
    <row r="10">
      <c r="A10" s="5" t="inlineStr">
        <is>
          <t>Close on 13-Dec-2022 (last cum-rights day)</t>
        </is>
      </c>
      <c r="B10" s="15" t="n">
        <v>1295</v>
      </c>
      <c r="C10" s="2" t="inlineStr">
        <is>
          <t>Rp</t>
        </is>
      </c>
      <c r="D10" s="2" t="inlineStr">
        <is>
          <t>Yahoo daily bar, unadjusted</t>
        </is>
      </c>
    </row>
    <row r="11">
      <c r="A11" s="5" t="inlineStr">
        <is>
          <t>Close on 14-Dec-2022 (ex-date)</t>
        </is>
      </c>
      <c r="B11" s="15" t="n">
        <v>1215</v>
      </c>
      <c r="C11" s="2" t="inlineStr">
        <is>
          <t>Rp</t>
        </is>
      </c>
      <c r="D11" s="2" t="inlineStr">
        <is>
          <t>Yahoo daily bar</t>
        </is>
      </c>
    </row>
    <row r="12">
      <c r="A12" s="5" t="inlineStr">
        <is>
          <t>Lowest close after ex-date (2022-12-20)</t>
        </is>
      </c>
      <c r="B12" s="15" t="n">
        <v>1100</v>
      </c>
      <c r="C12" s="2" t="inlineStr">
        <is>
          <t>Rp</t>
        </is>
      </c>
      <c r="D12" s="2" t="inlineStr">
        <is>
          <t>Yahoo daily bars, 14-Dec-2022 to 31-Jan-2023</t>
        </is>
      </c>
    </row>
    <row r="13">
      <c r="A13" s="5" t="inlineStr">
        <is>
          <t>Close on 31-Mar-2023</t>
        </is>
      </c>
      <c r="B13" s="15" t="n">
        <v>1680</v>
      </c>
      <c r="C13" s="2" t="inlineStr">
        <is>
          <t>Rp</t>
        </is>
      </c>
      <c r="D13" s="2" t="inlineStr">
        <is>
          <t>Yahoo daily bar</t>
        </is>
      </c>
    </row>
    <row r="14">
      <c r="A14" s="5" t="inlineStr">
        <is>
          <t>Close on 29-Dec-2023</t>
        </is>
      </c>
      <c r="B14" s="15" t="n">
        <v>1740</v>
      </c>
      <c r="C14" s="2" t="inlineStr">
        <is>
          <t>Rp</t>
        </is>
      </c>
      <c r="D14" s="2" t="inlineStr">
        <is>
          <t>Yahoo daily bar</t>
        </is>
      </c>
    </row>
    <row r="15">
      <c r="A15" s="5" t="inlineStr">
        <is>
          <t>Mandiri stake before</t>
        </is>
      </c>
      <c r="B15" s="17" t="n">
        <v>0.5083</v>
      </c>
      <c r="C15" s="2" t="inlineStr">
        <is>
          <t>%</t>
        </is>
      </c>
      <c r="D15" s="2" t="inlineStr">
        <is>
          <t>Bisnis.com, Oct-2022 (20.9bn shares)</t>
        </is>
      </c>
    </row>
    <row r="16">
      <c r="A16" s="5" t="inlineStr">
        <is>
          <t>New shares BNI took</t>
        </is>
      </c>
      <c r="B16" s="15" t="n">
        <v>500000000</v>
      </c>
      <c r="C16" s="2" t="inlineStr">
        <is>
          <t>shares</t>
        </is>
      </c>
      <c r="D16" s="2" t="inlineStr">
        <is>
          <t>Kontan: BNI absorbed Rp500bn of its rights</t>
        </is>
      </c>
    </row>
    <row r="17">
      <c r="A17" s="5" t="inlineStr">
        <is>
          <t>TERP</t>
        </is>
      </c>
      <c r="B17" s="21">
        <f>(p22_old*p22_cum+p22_new*p22_px)/(p22_old+p22_new)</f>
        <v>1263.02716521731</v>
      </c>
      <c r="C17" s="2" t="inlineStr">
        <is>
          <t>Rp</t>
        </is>
      </c>
      <c r="D17" s="2" t="inlineStr"/>
    </row>
    <row r="18">
      <c r="A18" s="5" t="inlineStr">
        <is>
          <t>Discount to last cum price</t>
        </is>
      </c>
      <c r="B18" s="23">
        <f>1-p22_px/p22_cum</f>
        <v>0.2277992277992278</v>
      </c>
      <c r="C18" s="2" t="inlineStr">
        <is>
          <t>%</t>
        </is>
      </c>
      <c r="D18" s="2" t="inlineStr"/>
    </row>
    <row r="19">
      <c r="A19" s="5" t="inlineStr">
        <is>
          <t>Discount to TERP</t>
        </is>
      </c>
      <c r="B19" s="23">
        <f>1-p22_px/p22_terp</f>
        <v>0.20825139194219544</v>
      </c>
      <c r="C19" s="2" t="inlineStr">
        <is>
          <t>%</t>
        </is>
      </c>
      <c r="D19" s="2" t="inlineStr"/>
    </row>
    <row r="20">
      <c r="A20" s="5" t="inlineStr">
        <is>
          <t>Share of maximum issued</t>
        </is>
      </c>
      <c r="B20" s="23">
        <f>p22_new/p22_max</f>
        <v>0.833267352</v>
      </c>
      <c r="C20" s="2" t="inlineStr">
        <is>
          <t>%</t>
        </is>
      </c>
      <c r="D20" s="2" t="inlineStr"/>
    </row>
    <row r="21">
      <c r="A21" s="5" t="inlineStr">
        <is>
          <t>Price change, disclosure to last cum day</t>
        </is>
      </c>
      <c r="B21" s="23">
        <f>p22_cum/p22_ann-1</f>
        <v>-0.15081967213114755</v>
      </c>
      <c r="C21" s="2" t="inlineStr">
        <is>
          <t>%</t>
        </is>
      </c>
      <c r="D21" s="2" t="inlineStr"/>
    </row>
    <row r="22">
      <c r="A22" s="5" t="inlineStr">
        <is>
          <t>Ex-date close vs TERP</t>
        </is>
      </c>
      <c r="B22" s="23">
        <f>p22_ex/p22_terp-1</f>
        <v>-0.038025441209767474</v>
      </c>
      <c r="C22" s="2" t="inlineStr">
        <is>
          <t>%</t>
        </is>
      </c>
      <c r="D22" s="2" t="inlineStr"/>
    </row>
    <row r="23">
      <c r="A23" s="5" t="inlineStr">
        <is>
          <t>Lowest close vs TERP</t>
        </is>
      </c>
      <c r="B23" s="23">
        <f>p22_low/p22_terp-1</f>
        <v>-0.12907653113641504</v>
      </c>
      <c r="C23" s="2" t="inlineStr">
        <is>
          <t>%</t>
        </is>
      </c>
      <c r="D23" s="2" t="inlineStr"/>
    </row>
    <row r="24">
      <c r="A24" s="5" t="inlineStr">
        <is>
          <t>31-Mar-2023 close vs lowest close</t>
        </is>
      </c>
      <c r="B24" s="23">
        <f>p22_q1/p22_low-1</f>
        <v>0.5272727272727273</v>
      </c>
      <c r="C24" s="2" t="inlineStr">
        <is>
          <t>%</t>
        </is>
      </c>
      <c r="D24" s="2" t="inlineStr"/>
    </row>
    <row r="26">
      <c r="A26" s="3" t="inlineStr">
        <is>
          <t>Who took the 2022 shares</t>
        </is>
      </c>
      <c r="B26" s="4" t="inlineStr">
        <is>
          <t>Before</t>
        </is>
      </c>
      <c r="C26" s="4" t="inlineStr">
        <is>
          <t>After</t>
        </is>
      </c>
      <c r="D26" s="4" t="inlineStr">
        <is>
          <t>New shares</t>
        </is>
      </c>
      <c r="E26" s="4" t="inlineStr">
        <is>
          <t>Share of issue</t>
        </is>
      </c>
      <c r="F26" s="4" t="inlineStr">
        <is>
          <t>Stake before</t>
        </is>
      </c>
      <c r="G26" s="4" t="inlineStr">
        <is>
          <t>Stake after</t>
        </is>
      </c>
    </row>
    <row r="27">
      <c r="A27" s="5" t="inlineStr">
        <is>
          <t>Bank Mandiri</t>
        </is>
      </c>
      <c r="B27" s="24">
        <f>ROUND(p22_m_pre*p22_old,0)</f>
        <v>20906204158.0</v>
      </c>
      <c r="C27" s="35">
        <f>sh_mandiri</f>
        <v>23740608436.0</v>
      </c>
      <c r="D27" s="24">
        <f>C27-B27</f>
        <v>2834404278.0</v>
      </c>
      <c r="E27" s="23">
        <f>D27/p22_new</f>
        <v>0.5669257434197422</v>
      </c>
      <c r="F27" s="25">
        <f>B27/p22_old</f>
        <v>0.5082999999996158</v>
      </c>
      <c r="G27" s="25">
        <f>C27/sh_out</f>
        <v>0.5146540040958331</v>
      </c>
    </row>
    <row r="28">
      <c r="A28" s="5" t="inlineStr">
        <is>
          <t>BNI</t>
        </is>
      </c>
      <c r="B28" s="24">
        <f>sh_bni-p22_bni_take</f>
        <v>10220230418.0</v>
      </c>
      <c r="C28" s="35">
        <f>sh_bni</f>
        <v>10720230418.0</v>
      </c>
      <c r="D28" s="24">
        <f>C28-B28</f>
        <v>500000000.0</v>
      </c>
      <c r="E28" s="23">
        <f>D28/p22_new</f>
        <v>0.10000791838695887</v>
      </c>
      <c r="F28" s="25">
        <f>B28/p22_old</f>
        <v>0.24848810822875128</v>
      </c>
      <c r="G28" s="25">
        <f>C28/sh_out</f>
        <v>0.23239545542090698</v>
      </c>
    </row>
    <row r="29">
      <c r="A29" s="5" t="inlineStr">
        <is>
          <t>BRI</t>
        </is>
      </c>
      <c r="B29" s="24">
        <f>sh_bri</f>
        <v>7092761655.0</v>
      </c>
      <c r="C29" s="35">
        <f>sh_bri</f>
        <v>7092761655.0</v>
      </c>
      <c r="D29" s="24">
        <f>C29-B29</f>
        <v>0.0</v>
      </c>
      <c r="E29" s="23">
        <f>D29/p22_new</f>
        <v>0.0</v>
      </c>
      <c r="F29" s="25">
        <f>B29/p22_old</f>
        <v>0.17244884446678402</v>
      </c>
      <c r="G29" s="25">
        <f>C29/sh_out</f>
        <v>0.15375840916982714</v>
      </c>
    </row>
    <row r="30">
      <c r="A30" s="5" t="inlineStr">
        <is>
          <t>Public</t>
        </is>
      </c>
      <c r="B30" s="24">
        <f>p22_old-B27-B28-B29</f>
        <v>2910459795.0</v>
      </c>
      <c r="C30" s="24">
        <f>sh_out-C27-C28-C29</f>
        <v>4575659629.0</v>
      </c>
      <c r="D30" s="24">
        <f>C30-B30</f>
        <v>1665199834.0</v>
      </c>
      <c r="E30" s="23">
        <f>D30/p22_new</f>
        <v>0.33306633819329895</v>
      </c>
      <c r="F30" s="25">
        <f>B30/p22_old</f>
        <v>0.07076304730484886</v>
      </c>
      <c r="G30" s="25">
        <f>C30/sh_out</f>
        <v>0.09919213131343287</v>
      </c>
    </row>
    <row r="32">
      <c r="A32" s="5" t="inlineStr">
        <is>
          <t>Cash the public paid in 2022</t>
        </is>
      </c>
      <c r="B32" s="24">
        <f>pub_new22*p22_px/1E9</f>
        <v>1665.199834</v>
      </c>
      <c r="C32" s="2" t="inlineStr">
        <is>
          <t>Rp bn</t>
        </is>
      </c>
    </row>
    <row r="34">
      <c r="A34" s="2" t="inlineStr">
        <is>
          <t>The 2022 issue was 1.4x subscribed (Bisnis.com). BNI took 0.5bn of 1.24bn rights; BRI took none (15.38% after).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14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BRIS daily close</t>
        </is>
      </c>
    </row>
    <row r="2">
      <c r="A2" s="2" t="inlineStr">
        <is>
          <t>Traded prices (Rp). Yahoo Finance daily bars; pre-14-Dec-2022 prices un-adjusted for the 2022 rights issue.</t>
        </is>
      </c>
    </row>
    <row r="4">
      <c r="A4" s="3" t="inlineStr">
        <is>
          <t>Date</t>
        </is>
      </c>
      <c r="B4" s="4" t="inlineStr">
        <is>
          <t>Close (Rp)</t>
        </is>
      </c>
    </row>
    <row r="5">
      <c r="A5" s="53" t="n">
        <v>44564</v>
      </c>
      <c r="B5" s="15" t="n">
        <v>1780</v>
      </c>
    </row>
    <row r="6">
      <c r="A6" s="53" t="n">
        <v>44565</v>
      </c>
      <c r="B6" s="15" t="n">
        <v>1795</v>
      </c>
    </row>
    <row r="7">
      <c r="A7" s="53" t="n">
        <v>44566</v>
      </c>
      <c r="B7" s="15" t="n">
        <v>1790</v>
      </c>
    </row>
    <row r="8">
      <c r="A8" s="53" t="n">
        <v>44567</v>
      </c>
      <c r="B8" s="15" t="n">
        <v>1745</v>
      </c>
    </row>
    <row r="9">
      <c r="A9" s="53" t="n">
        <v>44568</v>
      </c>
      <c r="B9" s="15" t="n">
        <v>1745</v>
      </c>
    </row>
    <row r="10">
      <c r="A10" s="53" t="n">
        <v>44571</v>
      </c>
      <c r="B10" s="15" t="n">
        <v>1760</v>
      </c>
    </row>
    <row r="11">
      <c r="A11" s="53" t="n">
        <v>44572</v>
      </c>
      <c r="B11" s="15" t="n">
        <v>1740</v>
      </c>
    </row>
    <row r="12">
      <c r="A12" s="53" t="n">
        <v>44573</v>
      </c>
      <c r="B12" s="15" t="n">
        <v>1620</v>
      </c>
    </row>
    <row r="13">
      <c r="A13" s="53" t="n">
        <v>44574</v>
      </c>
      <c r="B13" s="15" t="n">
        <v>1615</v>
      </c>
    </row>
    <row r="14">
      <c r="A14" s="53" t="n">
        <v>44575</v>
      </c>
      <c r="B14" s="15" t="n">
        <v>1585</v>
      </c>
    </row>
    <row r="15">
      <c r="A15" s="53" t="n">
        <v>44578</v>
      </c>
      <c r="B15" s="15" t="n">
        <v>1540</v>
      </c>
    </row>
    <row r="16">
      <c r="A16" s="53" t="n">
        <v>44579</v>
      </c>
      <c r="B16" s="15" t="n">
        <v>1495</v>
      </c>
    </row>
    <row r="17">
      <c r="A17" s="53" t="n">
        <v>44580</v>
      </c>
      <c r="B17" s="15" t="n">
        <v>1505</v>
      </c>
    </row>
    <row r="18">
      <c r="A18" s="53" t="n">
        <v>44581</v>
      </c>
      <c r="B18" s="15" t="n">
        <v>1550</v>
      </c>
    </row>
    <row r="19">
      <c r="A19" s="53" t="n">
        <v>44582</v>
      </c>
      <c r="B19" s="15" t="n">
        <v>1555</v>
      </c>
    </row>
    <row r="20">
      <c r="A20" s="53" t="n">
        <v>44585</v>
      </c>
      <c r="B20" s="15" t="n">
        <v>1550</v>
      </c>
    </row>
    <row r="21">
      <c r="A21" s="53" t="n">
        <v>44586</v>
      </c>
      <c r="B21" s="15" t="n">
        <v>1510</v>
      </c>
    </row>
    <row r="22">
      <c r="A22" s="53" t="n">
        <v>44587</v>
      </c>
      <c r="B22" s="15" t="n">
        <v>1515</v>
      </c>
    </row>
    <row r="23">
      <c r="A23" s="53" t="n">
        <v>44588</v>
      </c>
      <c r="B23" s="15" t="n">
        <v>1505</v>
      </c>
    </row>
    <row r="24">
      <c r="A24" s="53" t="n">
        <v>44589</v>
      </c>
      <c r="B24" s="15" t="n">
        <v>1520</v>
      </c>
    </row>
    <row r="25">
      <c r="A25" s="53" t="n">
        <v>44592</v>
      </c>
      <c r="B25" s="15" t="n">
        <v>1545</v>
      </c>
    </row>
    <row r="26">
      <c r="A26" s="53" t="n">
        <v>44594</v>
      </c>
      <c r="B26" s="15" t="n">
        <v>1545</v>
      </c>
    </row>
    <row r="27">
      <c r="A27" s="53" t="n">
        <v>44595</v>
      </c>
      <c r="B27" s="15" t="n">
        <v>1585</v>
      </c>
    </row>
    <row r="28">
      <c r="A28" s="53" t="n">
        <v>44596</v>
      </c>
      <c r="B28" s="15" t="n">
        <v>1580</v>
      </c>
    </row>
    <row r="29">
      <c r="A29" s="53" t="n">
        <v>44599</v>
      </c>
      <c r="B29" s="15" t="n">
        <v>1645</v>
      </c>
    </row>
    <row r="30">
      <c r="A30" s="53" t="n">
        <v>44600</v>
      </c>
      <c r="B30" s="15" t="n">
        <v>1660</v>
      </c>
    </row>
    <row r="31">
      <c r="A31" s="53" t="n">
        <v>44601</v>
      </c>
      <c r="B31" s="15" t="n">
        <v>1675</v>
      </c>
    </row>
    <row r="32">
      <c r="A32" s="53" t="n">
        <v>44602</v>
      </c>
      <c r="B32" s="15" t="n">
        <v>1670</v>
      </c>
    </row>
    <row r="33">
      <c r="A33" s="53" t="n">
        <v>44603</v>
      </c>
      <c r="B33" s="15" t="n">
        <v>1670</v>
      </c>
    </row>
    <row r="34">
      <c r="A34" s="53" t="n">
        <v>44606</v>
      </c>
      <c r="B34" s="15" t="n">
        <v>1615</v>
      </c>
    </row>
    <row r="35">
      <c r="A35" s="53" t="n">
        <v>44607</v>
      </c>
      <c r="B35" s="15" t="n">
        <v>1650</v>
      </c>
    </row>
    <row r="36">
      <c r="A36" s="53" t="n">
        <v>44608</v>
      </c>
      <c r="B36" s="15" t="n">
        <v>1655</v>
      </c>
    </row>
    <row r="37">
      <c r="A37" s="53" t="n">
        <v>44609</v>
      </c>
      <c r="B37" s="15" t="n">
        <v>1640</v>
      </c>
    </row>
    <row r="38">
      <c r="A38" s="53" t="n">
        <v>44610</v>
      </c>
      <c r="B38" s="15" t="n">
        <v>1700</v>
      </c>
    </row>
    <row r="39">
      <c r="A39" s="53" t="n">
        <v>44613</v>
      </c>
      <c r="B39" s="15" t="n">
        <v>1755</v>
      </c>
    </row>
    <row r="40">
      <c r="A40" s="53" t="n">
        <v>44614</v>
      </c>
      <c r="B40" s="15" t="n">
        <v>1725</v>
      </c>
    </row>
    <row r="41">
      <c r="A41" s="53" t="n">
        <v>44615</v>
      </c>
      <c r="B41" s="15" t="n">
        <v>1730</v>
      </c>
    </row>
    <row r="42">
      <c r="A42" s="53" t="n">
        <v>44616</v>
      </c>
      <c r="B42" s="15" t="n">
        <v>1615</v>
      </c>
    </row>
    <row r="43">
      <c r="A43" s="53" t="n">
        <v>44617</v>
      </c>
      <c r="B43" s="15" t="n">
        <v>1665</v>
      </c>
    </row>
    <row r="44">
      <c r="A44" s="53" t="n">
        <v>44621</v>
      </c>
      <c r="B44" s="15" t="n">
        <v>1795</v>
      </c>
    </row>
    <row r="45">
      <c r="A45" s="53" t="n">
        <v>44622</v>
      </c>
      <c r="B45" s="15" t="n">
        <v>1775</v>
      </c>
    </row>
    <row r="46">
      <c r="A46" s="53" t="n">
        <v>44624</v>
      </c>
      <c r="B46" s="15" t="n">
        <v>1740</v>
      </c>
    </row>
    <row r="47">
      <c r="A47" s="53" t="n">
        <v>44627</v>
      </c>
      <c r="B47" s="15" t="n">
        <v>1685</v>
      </c>
    </row>
    <row r="48">
      <c r="A48" s="53" t="n">
        <v>44628</v>
      </c>
      <c r="B48" s="15" t="n">
        <v>1650</v>
      </c>
    </row>
    <row r="49">
      <c r="A49" s="53" t="n">
        <v>44629</v>
      </c>
      <c r="B49" s="15" t="n">
        <v>1690</v>
      </c>
    </row>
    <row r="50">
      <c r="A50" s="53" t="n">
        <v>44630</v>
      </c>
      <c r="B50" s="15" t="n">
        <v>1700</v>
      </c>
    </row>
    <row r="51">
      <c r="A51" s="53" t="n">
        <v>44631</v>
      </c>
      <c r="B51" s="15" t="n">
        <v>1670</v>
      </c>
    </row>
    <row r="52">
      <c r="A52" s="53" t="n">
        <v>44634</v>
      </c>
      <c r="B52" s="15" t="n">
        <v>1685</v>
      </c>
    </row>
    <row r="53">
      <c r="A53" s="53" t="n">
        <v>44635</v>
      </c>
      <c r="B53" s="15" t="n">
        <v>1665</v>
      </c>
    </row>
    <row r="54">
      <c r="A54" s="53" t="n">
        <v>44636</v>
      </c>
      <c r="B54" s="15" t="n">
        <v>1655</v>
      </c>
    </row>
    <row r="55">
      <c r="A55" s="53" t="n">
        <v>44637</v>
      </c>
      <c r="B55" s="15" t="n">
        <v>1645</v>
      </c>
    </row>
    <row r="56">
      <c r="A56" s="53" t="n">
        <v>44638</v>
      </c>
      <c r="B56" s="15" t="n">
        <v>1615</v>
      </c>
    </row>
    <row r="57">
      <c r="A57" s="53" t="n">
        <v>44641</v>
      </c>
      <c r="B57" s="15" t="n">
        <v>1615</v>
      </c>
    </row>
    <row r="58">
      <c r="A58" s="53" t="n">
        <v>44642</v>
      </c>
      <c r="B58" s="15" t="n">
        <v>1630</v>
      </c>
    </row>
    <row r="59">
      <c r="A59" s="53" t="n">
        <v>44643</v>
      </c>
      <c r="B59" s="15" t="n">
        <v>1620</v>
      </c>
    </row>
    <row r="60">
      <c r="A60" s="53" t="n">
        <v>44644</v>
      </c>
      <c r="B60" s="15" t="n">
        <v>1620</v>
      </c>
    </row>
    <row r="61">
      <c r="A61" s="53" t="n">
        <v>44645</v>
      </c>
      <c r="B61" s="15" t="n">
        <v>1610</v>
      </c>
    </row>
    <row r="62">
      <c r="A62" s="53" t="n">
        <v>44648</v>
      </c>
      <c r="B62" s="15" t="n">
        <v>1615</v>
      </c>
    </row>
    <row r="63">
      <c r="A63" s="53" t="n">
        <v>44649</v>
      </c>
      <c r="B63" s="15" t="n">
        <v>1615</v>
      </c>
    </row>
    <row r="64">
      <c r="A64" s="53" t="n">
        <v>44650</v>
      </c>
      <c r="B64" s="15" t="n">
        <v>1620</v>
      </c>
    </row>
    <row r="65">
      <c r="A65" s="53" t="n">
        <v>44651</v>
      </c>
      <c r="B65" s="15" t="n">
        <v>1605</v>
      </c>
    </row>
    <row r="66">
      <c r="A66" s="53" t="n">
        <v>44652</v>
      </c>
      <c r="B66" s="15" t="n">
        <v>1605</v>
      </c>
    </row>
    <row r="67">
      <c r="A67" s="53" t="n">
        <v>44655</v>
      </c>
      <c r="B67" s="15" t="n">
        <v>1585</v>
      </c>
    </row>
    <row r="68">
      <c r="A68" s="53" t="n">
        <v>44656</v>
      </c>
      <c r="B68" s="15" t="n">
        <v>1570</v>
      </c>
    </row>
    <row r="69">
      <c r="A69" s="53" t="n">
        <v>44657</v>
      </c>
      <c r="B69" s="15" t="n">
        <v>1510</v>
      </c>
    </row>
    <row r="70">
      <c r="A70" s="53" t="n">
        <v>44658</v>
      </c>
      <c r="B70" s="15" t="n">
        <v>1525</v>
      </c>
    </row>
    <row r="71">
      <c r="A71" s="53" t="n">
        <v>44659</v>
      </c>
      <c r="B71" s="15" t="n">
        <v>1525</v>
      </c>
    </row>
    <row r="72">
      <c r="A72" s="53" t="n">
        <v>44662</v>
      </c>
      <c r="B72" s="15" t="n">
        <v>1515</v>
      </c>
    </row>
    <row r="73">
      <c r="A73" s="53" t="n">
        <v>44663</v>
      </c>
      <c r="B73" s="15" t="n">
        <v>1505</v>
      </c>
    </row>
    <row r="74">
      <c r="A74" s="53" t="n">
        <v>44664</v>
      </c>
      <c r="B74" s="15" t="n">
        <v>1505</v>
      </c>
    </row>
    <row r="75">
      <c r="A75" s="53" t="n">
        <v>44665</v>
      </c>
      <c r="B75" s="15" t="n">
        <v>1560</v>
      </c>
    </row>
    <row r="76">
      <c r="A76" s="53" t="n">
        <v>44669</v>
      </c>
      <c r="B76" s="15" t="n">
        <v>1615</v>
      </c>
    </row>
    <row r="77">
      <c r="A77" s="53" t="n">
        <v>44670</v>
      </c>
      <c r="B77" s="15" t="n">
        <v>1575</v>
      </c>
    </row>
    <row r="78">
      <c r="A78" s="53" t="n">
        <v>44671</v>
      </c>
      <c r="B78" s="15" t="n">
        <v>1555</v>
      </c>
    </row>
    <row r="79">
      <c r="A79" s="53" t="n">
        <v>44672</v>
      </c>
      <c r="B79" s="15" t="n">
        <v>1560</v>
      </c>
    </row>
    <row r="80">
      <c r="A80" s="53" t="n">
        <v>44673</v>
      </c>
      <c r="B80" s="15" t="n">
        <v>1535</v>
      </c>
    </row>
    <row r="81">
      <c r="A81" s="53" t="n">
        <v>44676</v>
      </c>
      <c r="B81" s="15" t="n">
        <v>1510</v>
      </c>
    </row>
    <row r="82">
      <c r="A82" s="53" t="n">
        <v>44677</v>
      </c>
      <c r="B82" s="15" t="n">
        <v>1530</v>
      </c>
    </row>
    <row r="83">
      <c r="A83" s="53" t="n">
        <v>44678</v>
      </c>
      <c r="B83" s="15" t="n">
        <v>1530</v>
      </c>
    </row>
    <row r="84">
      <c r="A84" s="53" t="n">
        <v>44679</v>
      </c>
      <c r="B84" s="15" t="n">
        <v>1580</v>
      </c>
    </row>
    <row r="85">
      <c r="A85" s="53" t="n">
        <v>44690</v>
      </c>
      <c r="B85" s="15" t="n">
        <v>1520</v>
      </c>
    </row>
    <row r="86">
      <c r="A86" s="53" t="n">
        <v>44691</v>
      </c>
      <c r="B86" s="15" t="n">
        <v>1520</v>
      </c>
    </row>
    <row r="87">
      <c r="A87" s="53" t="n">
        <v>44692</v>
      </c>
      <c r="B87" s="15" t="n">
        <v>1515</v>
      </c>
    </row>
    <row r="88">
      <c r="A88" s="53" t="n">
        <v>44693</v>
      </c>
      <c r="B88" s="15" t="n">
        <v>1410</v>
      </c>
    </row>
    <row r="89">
      <c r="A89" s="53" t="n">
        <v>44694</v>
      </c>
      <c r="B89" s="15" t="n">
        <v>1435</v>
      </c>
    </row>
    <row r="90">
      <c r="A90" s="53" t="n">
        <v>44698</v>
      </c>
      <c r="B90" s="15" t="n">
        <v>1445</v>
      </c>
    </row>
    <row r="91">
      <c r="A91" s="53" t="n">
        <v>44699</v>
      </c>
      <c r="B91" s="15" t="n">
        <v>1445</v>
      </c>
    </row>
    <row r="92">
      <c r="A92" s="53" t="n">
        <v>44700</v>
      </c>
      <c r="B92" s="15" t="n">
        <v>1415</v>
      </c>
    </row>
    <row r="93">
      <c r="A93" s="53" t="n">
        <v>44701</v>
      </c>
      <c r="B93" s="15" t="n">
        <v>1440</v>
      </c>
    </row>
    <row r="94">
      <c r="A94" s="53" t="n">
        <v>44704</v>
      </c>
      <c r="B94" s="15" t="n">
        <v>1415</v>
      </c>
    </row>
    <row r="95">
      <c r="A95" s="53" t="n">
        <v>44705</v>
      </c>
      <c r="B95" s="15" t="n">
        <v>1420</v>
      </c>
    </row>
    <row r="96">
      <c r="A96" s="53" t="n">
        <v>44706</v>
      </c>
      <c r="B96" s="15" t="n">
        <v>1415</v>
      </c>
    </row>
    <row r="97">
      <c r="A97" s="53" t="n">
        <v>44708</v>
      </c>
      <c r="B97" s="15" t="n">
        <v>1460</v>
      </c>
    </row>
    <row r="98">
      <c r="A98" s="53" t="n">
        <v>44711</v>
      </c>
      <c r="B98" s="15" t="n">
        <v>1435</v>
      </c>
    </row>
    <row r="99">
      <c r="A99" s="53" t="n">
        <v>44712</v>
      </c>
      <c r="B99" s="15" t="n">
        <v>1440</v>
      </c>
    </row>
    <row r="100">
      <c r="A100" s="53" t="n">
        <v>44714</v>
      </c>
      <c r="B100" s="15" t="n">
        <v>1450</v>
      </c>
    </row>
    <row r="101">
      <c r="A101" s="53" t="n">
        <v>44715</v>
      </c>
      <c r="B101" s="15" t="n">
        <v>1490</v>
      </c>
    </row>
    <row r="102">
      <c r="A102" s="53" t="n">
        <v>44718</v>
      </c>
      <c r="B102" s="15" t="n">
        <v>1485</v>
      </c>
    </row>
    <row r="103">
      <c r="A103" s="53" t="n">
        <v>44719</v>
      </c>
      <c r="B103" s="15" t="n">
        <v>1460</v>
      </c>
    </row>
    <row r="104">
      <c r="A104" s="53" t="n">
        <v>44720</v>
      </c>
      <c r="B104" s="15" t="n">
        <v>1460</v>
      </c>
    </row>
    <row r="105">
      <c r="A105" s="53" t="n">
        <v>44721</v>
      </c>
      <c r="B105" s="15" t="n">
        <v>1455</v>
      </c>
    </row>
    <row r="106">
      <c r="A106" s="53" t="n">
        <v>44722</v>
      </c>
      <c r="B106" s="15" t="n">
        <v>1445</v>
      </c>
    </row>
    <row r="107">
      <c r="A107" s="53" t="n">
        <v>44725</v>
      </c>
      <c r="B107" s="15" t="n">
        <v>1420</v>
      </c>
    </row>
    <row r="108">
      <c r="A108" s="53" t="n">
        <v>44726</v>
      </c>
      <c r="B108" s="15" t="n">
        <v>1415</v>
      </c>
    </row>
    <row r="109">
      <c r="A109" s="53" t="n">
        <v>44727</v>
      </c>
      <c r="B109" s="15" t="n">
        <v>1415</v>
      </c>
    </row>
    <row r="110">
      <c r="A110" s="53" t="n">
        <v>44728</v>
      </c>
      <c r="B110" s="15" t="n">
        <v>1420</v>
      </c>
    </row>
    <row r="111">
      <c r="A111" s="53" t="n">
        <v>44729</v>
      </c>
      <c r="B111" s="15" t="n">
        <v>1395</v>
      </c>
    </row>
    <row r="112">
      <c r="A112" s="53" t="n">
        <v>44732</v>
      </c>
      <c r="B112" s="15" t="n">
        <v>1385</v>
      </c>
    </row>
    <row r="113">
      <c r="A113" s="53" t="n">
        <v>44733</v>
      </c>
      <c r="B113" s="15" t="n">
        <v>1390</v>
      </c>
    </row>
    <row r="114">
      <c r="A114" s="53" t="n">
        <v>44734</v>
      </c>
      <c r="B114" s="15" t="n">
        <v>1385</v>
      </c>
    </row>
    <row r="115">
      <c r="A115" s="53" t="n">
        <v>44735</v>
      </c>
      <c r="B115" s="15" t="n">
        <v>1375</v>
      </c>
    </row>
    <row r="116">
      <c r="A116" s="53" t="n">
        <v>44736</v>
      </c>
      <c r="B116" s="15" t="n">
        <v>1375</v>
      </c>
    </row>
    <row r="117">
      <c r="A117" s="53" t="n">
        <v>44739</v>
      </c>
      <c r="B117" s="15" t="n">
        <v>1360</v>
      </c>
    </row>
    <row r="118">
      <c r="A118" s="53" t="n">
        <v>44740</v>
      </c>
      <c r="B118" s="15" t="n">
        <v>1355</v>
      </c>
    </row>
    <row r="119">
      <c r="A119" s="53" t="n">
        <v>44741</v>
      </c>
      <c r="B119" s="15" t="n">
        <v>1350</v>
      </c>
    </row>
    <row r="120">
      <c r="A120" s="53" t="n">
        <v>44742</v>
      </c>
      <c r="B120" s="15" t="n">
        <v>1340</v>
      </c>
    </row>
    <row r="121">
      <c r="A121" s="53" t="n">
        <v>44743</v>
      </c>
      <c r="B121" s="15" t="n">
        <v>1285</v>
      </c>
    </row>
    <row r="122">
      <c r="A122" s="53" t="n">
        <v>44746</v>
      </c>
      <c r="B122" s="15" t="n">
        <v>1205</v>
      </c>
    </row>
    <row r="123">
      <c r="A123" s="53" t="n">
        <v>44747</v>
      </c>
      <c r="B123" s="15" t="n">
        <v>1205</v>
      </c>
    </row>
    <row r="124">
      <c r="A124" s="53" t="n">
        <v>44748</v>
      </c>
      <c r="B124" s="15" t="n">
        <v>1210</v>
      </c>
    </row>
    <row r="125">
      <c r="A125" s="53" t="n">
        <v>44749</v>
      </c>
      <c r="B125" s="15" t="n">
        <v>1235</v>
      </c>
    </row>
    <row r="126">
      <c r="A126" s="53" t="n">
        <v>44750</v>
      </c>
      <c r="B126" s="15" t="n">
        <v>1255</v>
      </c>
    </row>
    <row r="127">
      <c r="A127" s="53" t="n">
        <v>44753</v>
      </c>
      <c r="B127" s="15" t="n">
        <v>1255</v>
      </c>
    </row>
    <row r="128">
      <c r="A128" s="53" t="n">
        <v>44754</v>
      </c>
      <c r="B128" s="15" t="n">
        <v>1520</v>
      </c>
    </row>
    <row r="129">
      <c r="A129" s="53" t="n">
        <v>44755</v>
      </c>
      <c r="B129" s="15" t="n">
        <v>1415</v>
      </c>
    </row>
    <row r="130">
      <c r="A130" s="53" t="n">
        <v>44756</v>
      </c>
      <c r="B130" s="15" t="n">
        <v>1420</v>
      </c>
    </row>
    <row r="131">
      <c r="A131" s="53" t="n">
        <v>44757</v>
      </c>
      <c r="B131" s="15" t="n">
        <v>1455</v>
      </c>
    </row>
    <row r="132">
      <c r="A132" s="53" t="n">
        <v>44760</v>
      </c>
      <c r="B132" s="15" t="n">
        <v>1515</v>
      </c>
    </row>
    <row r="133">
      <c r="A133" s="53" t="n">
        <v>44761</v>
      </c>
      <c r="B133" s="15" t="n">
        <v>1515</v>
      </c>
    </row>
    <row r="134">
      <c r="A134" s="53" t="n">
        <v>44762</v>
      </c>
      <c r="B134" s="15" t="n">
        <v>1530</v>
      </c>
    </row>
    <row r="135">
      <c r="A135" s="53" t="n">
        <v>44763</v>
      </c>
      <c r="B135" s="15" t="n">
        <v>1550</v>
      </c>
    </row>
    <row r="136">
      <c r="A136" s="53" t="n">
        <v>44764</v>
      </c>
      <c r="B136" s="15" t="n">
        <v>1550</v>
      </c>
    </row>
    <row r="137">
      <c r="A137" s="53" t="n">
        <v>44767</v>
      </c>
      <c r="B137" s="15" t="n">
        <v>1590</v>
      </c>
    </row>
    <row r="138">
      <c r="A138" s="53" t="n">
        <v>44768</v>
      </c>
      <c r="B138" s="15" t="n">
        <v>1635</v>
      </c>
    </row>
    <row r="139">
      <c r="A139" s="53" t="n">
        <v>44769</v>
      </c>
      <c r="B139" s="15" t="n">
        <v>1620</v>
      </c>
    </row>
    <row r="140">
      <c r="A140" s="53" t="n">
        <v>44770</v>
      </c>
      <c r="B140" s="15" t="n">
        <v>1675</v>
      </c>
    </row>
    <row r="141">
      <c r="A141" s="53" t="n">
        <v>44771</v>
      </c>
      <c r="B141" s="15" t="n">
        <v>1635</v>
      </c>
    </row>
    <row r="142">
      <c r="A142" s="53" t="n">
        <v>44774</v>
      </c>
      <c r="B142" s="15" t="n">
        <v>1635</v>
      </c>
    </row>
    <row r="143">
      <c r="A143" s="53" t="n">
        <v>44775</v>
      </c>
      <c r="B143" s="15" t="n">
        <v>1565</v>
      </c>
    </row>
    <row r="144">
      <c r="A144" s="53" t="n">
        <v>44776</v>
      </c>
      <c r="B144" s="15" t="n">
        <v>1570</v>
      </c>
    </row>
    <row r="145">
      <c r="A145" s="53" t="n">
        <v>44777</v>
      </c>
      <c r="B145" s="15" t="n">
        <v>1590</v>
      </c>
    </row>
    <row r="146">
      <c r="A146" s="53" t="n">
        <v>44778</v>
      </c>
      <c r="B146" s="15" t="n">
        <v>1590</v>
      </c>
    </row>
    <row r="147">
      <c r="A147" s="53" t="n">
        <v>44781</v>
      </c>
      <c r="B147" s="15" t="n">
        <v>1565</v>
      </c>
    </row>
    <row r="148">
      <c r="A148" s="53" t="n">
        <v>44782</v>
      </c>
      <c r="B148" s="15" t="n">
        <v>1545</v>
      </c>
    </row>
    <row r="149">
      <c r="A149" s="53" t="n">
        <v>44783</v>
      </c>
      <c r="B149" s="15" t="n">
        <v>1540</v>
      </c>
    </row>
    <row r="150">
      <c r="A150" s="53" t="n">
        <v>44784</v>
      </c>
      <c r="B150" s="15" t="n">
        <v>1570</v>
      </c>
    </row>
    <row r="151">
      <c r="A151" s="53" t="n">
        <v>44785</v>
      </c>
      <c r="B151" s="15" t="n">
        <v>1565</v>
      </c>
    </row>
    <row r="152">
      <c r="A152" s="53" t="n">
        <v>44788</v>
      </c>
      <c r="B152" s="15" t="n">
        <v>1545</v>
      </c>
    </row>
    <row r="153">
      <c r="A153" s="53" t="n">
        <v>44789</v>
      </c>
      <c r="B153" s="15" t="n">
        <v>1525</v>
      </c>
    </row>
    <row r="154">
      <c r="A154" s="53" t="n">
        <v>44791</v>
      </c>
      <c r="B154" s="15" t="n">
        <v>1540</v>
      </c>
    </row>
    <row r="155">
      <c r="A155" s="53" t="n">
        <v>44792</v>
      </c>
      <c r="B155" s="15" t="n">
        <v>1605</v>
      </c>
    </row>
    <row r="156">
      <c r="A156" s="53" t="n">
        <v>44795</v>
      </c>
      <c r="B156" s="15" t="n">
        <v>1570</v>
      </c>
    </row>
    <row r="157">
      <c r="A157" s="53" t="n">
        <v>44796</v>
      </c>
      <c r="B157" s="15" t="n">
        <v>1550</v>
      </c>
    </row>
    <row r="158">
      <c r="A158" s="53" t="n">
        <v>44797</v>
      </c>
      <c r="B158" s="15" t="n">
        <v>1530</v>
      </c>
    </row>
    <row r="159">
      <c r="A159" s="53" t="n">
        <v>44798</v>
      </c>
      <c r="B159" s="15" t="n">
        <v>1525</v>
      </c>
    </row>
    <row r="160">
      <c r="A160" s="53" t="n">
        <v>44799</v>
      </c>
      <c r="B160" s="15" t="n">
        <v>1530</v>
      </c>
    </row>
    <row r="161">
      <c r="A161" s="53" t="n">
        <v>44802</v>
      </c>
      <c r="B161" s="15" t="n">
        <v>1535</v>
      </c>
    </row>
    <row r="162">
      <c r="A162" s="53" t="n">
        <v>44803</v>
      </c>
      <c r="B162" s="15" t="n">
        <v>1520</v>
      </c>
    </row>
    <row r="163">
      <c r="A163" s="53" t="n">
        <v>44804</v>
      </c>
      <c r="B163" s="15" t="n">
        <v>1520</v>
      </c>
    </row>
    <row r="164">
      <c r="A164" s="53" t="n">
        <v>44805</v>
      </c>
      <c r="B164" s="15" t="n">
        <v>1520</v>
      </c>
    </row>
    <row r="165">
      <c r="A165" s="53" t="n">
        <v>44806</v>
      </c>
      <c r="B165" s="15" t="n">
        <v>1510</v>
      </c>
    </row>
    <row r="166">
      <c r="A166" s="53" t="n">
        <v>44809</v>
      </c>
      <c r="B166" s="15" t="n">
        <v>1505</v>
      </c>
    </row>
    <row r="167">
      <c r="A167" s="53" t="n">
        <v>44810</v>
      </c>
      <c r="B167" s="15" t="n">
        <v>1510</v>
      </c>
    </row>
    <row r="168">
      <c r="A168" s="53" t="n">
        <v>44811</v>
      </c>
      <c r="B168" s="15" t="n">
        <v>1500</v>
      </c>
    </row>
    <row r="169">
      <c r="A169" s="53" t="n">
        <v>44812</v>
      </c>
      <c r="B169" s="15" t="n">
        <v>1505</v>
      </c>
    </row>
    <row r="170">
      <c r="A170" s="53" t="n">
        <v>44813</v>
      </c>
      <c r="B170" s="15" t="n">
        <v>1485</v>
      </c>
    </row>
    <row r="171">
      <c r="A171" s="53" t="n">
        <v>44816</v>
      </c>
      <c r="B171" s="15" t="n">
        <v>1480</v>
      </c>
    </row>
    <row r="172">
      <c r="A172" s="53" t="n">
        <v>44817</v>
      </c>
      <c r="B172" s="15" t="n">
        <v>1470</v>
      </c>
    </row>
    <row r="173">
      <c r="A173" s="53" t="n">
        <v>44818</v>
      </c>
      <c r="B173" s="15" t="n">
        <v>1465</v>
      </c>
    </row>
    <row r="174">
      <c r="A174" s="53" t="n">
        <v>44819</v>
      </c>
      <c r="B174" s="15" t="n">
        <v>1530</v>
      </c>
    </row>
    <row r="175">
      <c r="A175" s="53" t="n">
        <v>44820</v>
      </c>
      <c r="B175" s="15" t="n">
        <v>1535</v>
      </c>
    </row>
    <row r="176">
      <c r="A176" s="53" t="n">
        <v>44823</v>
      </c>
      <c r="B176" s="15" t="n">
        <v>1525</v>
      </c>
    </row>
    <row r="177">
      <c r="A177" s="53" t="n">
        <v>44824</v>
      </c>
      <c r="B177" s="15" t="n">
        <v>1530</v>
      </c>
    </row>
    <row r="178">
      <c r="A178" s="53" t="n">
        <v>44825</v>
      </c>
      <c r="B178" s="15" t="n">
        <v>1515</v>
      </c>
    </row>
    <row r="179">
      <c r="A179" s="53" t="n">
        <v>44826</v>
      </c>
      <c r="B179" s="15" t="n">
        <v>1530</v>
      </c>
    </row>
    <row r="180">
      <c r="A180" s="53" t="n">
        <v>44827</v>
      </c>
      <c r="B180" s="15" t="n">
        <v>1575</v>
      </c>
    </row>
    <row r="181">
      <c r="A181" s="53" t="n">
        <v>44830</v>
      </c>
      <c r="B181" s="15" t="n">
        <v>1560</v>
      </c>
    </row>
    <row r="182">
      <c r="A182" s="53" t="n">
        <v>44831</v>
      </c>
      <c r="B182" s="15" t="n">
        <v>1550</v>
      </c>
    </row>
    <row r="183">
      <c r="A183" s="53" t="n">
        <v>44832</v>
      </c>
      <c r="B183" s="15" t="n">
        <v>1535</v>
      </c>
    </row>
    <row r="184">
      <c r="A184" s="53" t="n">
        <v>44833</v>
      </c>
      <c r="B184" s="15" t="n">
        <v>1505</v>
      </c>
    </row>
    <row r="185">
      <c r="A185" s="53" t="n">
        <v>44834</v>
      </c>
      <c r="B185" s="15" t="n">
        <v>1470</v>
      </c>
    </row>
    <row r="186">
      <c r="A186" s="53" t="n">
        <v>44837</v>
      </c>
      <c r="B186" s="15" t="n">
        <v>1500</v>
      </c>
    </row>
    <row r="187">
      <c r="A187" s="53" t="n">
        <v>44838</v>
      </c>
      <c r="B187" s="15" t="n">
        <v>1490</v>
      </c>
    </row>
    <row r="188">
      <c r="A188" s="53" t="n">
        <v>44839</v>
      </c>
      <c r="B188" s="15" t="n">
        <v>1490</v>
      </c>
    </row>
    <row r="189">
      <c r="A189" s="53" t="n">
        <v>44840</v>
      </c>
      <c r="B189" s="15" t="n">
        <v>1490</v>
      </c>
    </row>
    <row r="190">
      <c r="A190" s="53" t="n">
        <v>44841</v>
      </c>
      <c r="B190" s="15" t="n">
        <v>1460</v>
      </c>
    </row>
    <row r="191">
      <c r="A191" s="53" t="n">
        <v>44844</v>
      </c>
      <c r="B191" s="15" t="n">
        <v>1445</v>
      </c>
    </row>
    <row r="192">
      <c r="A192" s="53" t="n">
        <v>44845</v>
      </c>
      <c r="B192" s="15" t="n">
        <v>1415</v>
      </c>
    </row>
    <row r="193">
      <c r="A193" s="53" t="n">
        <v>44846</v>
      </c>
      <c r="B193" s="15" t="n">
        <v>1375</v>
      </c>
    </row>
    <row r="194">
      <c r="A194" s="53" t="n">
        <v>44847</v>
      </c>
      <c r="B194" s="15" t="n">
        <v>1345</v>
      </c>
    </row>
    <row r="195">
      <c r="A195" s="53" t="n">
        <v>44848</v>
      </c>
      <c r="B195" s="15" t="n">
        <v>1310</v>
      </c>
    </row>
    <row r="196">
      <c r="A196" s="53" t="n">
        <v>44851</v>
      </c>
      <c r="B196" s="15" t="n">
        <v>1295</v>
      </c>
    </row>
    <row r="197">
      <c r="A197" s="53" t="n">
        <v>44852</v>
      </c>
      <c r="B197" s="15" t="n">
        <v>1315</v>
      </c>
    </row>
    <row r="198">
      <c r="A198" s="53" t="n">
        <v>44853</v>
      </c>
      <c r="B198" s="15" t="n">
        <v>1300</v>
      </c>
    </row>
    <row r="199">
      <c r="A199" s="53" t="n">
        <v>44854</v>
      </c>
      <c r="B199" s="15" t="n">
        <v>1300</v>
      </c>
    </row>
    <row r="200">
      <c r="A200" s="53" t="n">
        <v>44855</v>
      </c>
      <c r="B200" s="15" t="n">
        <v>1345</v>
      </c>
    </row>
    <row r="201">
      <c r="A201" s="53" t="n">
        <v>44858</v>
      </c>
      <c r="B201" s="15" t="n">
        <v>1395</v>
      </c>
    </row>
    <row r="202">
      <c r="A202" s="53" t="n">
        <v>44859</v>
      </c>
      <c r="B202" s="15" t="n">
        <v>1395</v>
      </c>
    </row>
    <row r="203">
      <c r="A203" s="53" t="n">
        <v>44860</v>
      </c>
      <c r="B203" s="15" t="n">
        <v>1375</v>
      </c>
    </row>
    <row r="204">
      <c r="A204" s="53" t="n">
        <v>44861</v>
      </c>
      <c r="B204" s="15" t="n">
        <v>1380</v>
      </c>
    </row>
    <row r="205">
      <c r="A205" s="53" t="n">
        <v>44862</v>
      </c>
      <c r="B205" s="15" t="n">
        <v>1395</v>
      </c>
    </row>
    <row r="206">
      <c r="A206" s="53" t="n">
        <v>44865</v>
      </c>
      <c r="B206" s="15" t="n">
        <v>1400</v>
      </c>
    </row>
    <row r="207">
      <c r="A207" s="53" t="n">
        <v>44866</v>
      </c>
      <c r="B207" s="15" t="n">
        <v>1405</v>
      </c>
    </row>
    <row r="208">
      <c r="A208" s="53" t="n">
        <v>44867</v>
      </c>
      <c r="B208" s="15" t="n">
        <v>1425</v>
      </c>
    </row>
    <row r="209">
      <c r="A209" s="53" t="n">
        <v>44868</v>
      </c>
      <c r="B209" s="15" t="n">
        <v>1390</v>
      </c>
    </row>
    <row r="210">
      <c r="A210" s="53" t="n">
        <v>44869</v>
      </c>
      <c r="B210" s="15" t="n">
        <v>1395</v>
      </c>
    </row>
    <row r="211">
      <c r="A211" s="53" t="n">
        <v>44872</v>
      </c>
      <c r="B211" s="15" t="n">
        <v>1385</v>
      </c>
    </row>
    <row r="212">
      <c r="A212" s="53" t="n">
        <v>44873</v>
      </c>
      <c r="B212" s="15" t="n">
        <v>1375</v>
      </c>
    </row>
    <row r="213">
      <c r="A213" s="53" t="n">
        <v>44874</v>
      </c>
      <c r="B213" s="15" t="n">
        <v>1375</v>
      </c>
    </row>
    <row r="214">
      <c r="A214" s="53" t="n">
        <v>44875</v>
      </c>
      <c r="B214" s="15" t="n">
        <v>1375</v>
      </c>
    </row>
    <row r="215">
      <c r="A215" s="53" t="n">
        <v>44876</v>
      </c>
      <c r="B215" s="15" t="n">
        <v>1375</v>
      </c>
    </row>
    <row r="216">
      <c r="A216" s="53" t="n">
        <v>44879</v>
      </c>
      <c r="B216" s="15" t="n">
        <v>1380</v>
      </c>
    </row>
    <row r="217">
      <c r="A217" s="53" t="n">
        <v>44880</v>
      </c>
      <c r="B217" s="15" t="n">
        <v>1375</v>
      </c>
    </row>
    <row r="218">
      <c r="A218" s="53" t="n">
        <v>44881</v>
      </c>
      <c r="B218" s="15" t="n">
        <v>1360</v>
      </c>
    </row>
    <row r="219">
      <c r="A219" s="53" t="n">
        <v>44882</v>
      </c>
      <c r="B219" s="15" t="n">
        <v>1360</v>
      </c>
    </row>
    <row r="220">
      <c r="A220" s="53" t="n">
        <v>44883</v>
      </c>
      <c r="B220" s="15" t="n">
        <v>1355</v>
      </c>
    </row>
    <row r="221">
      <c r="A221" s="53" t="n">
        <v>44886</v>
      </c>
      <c r="B221" s="15" t="n">
        <v>1360</v>
      </c>
    </row>
    <row r="222">
      <c r="A222" s="53" t="n">
        <v>44887</v>
      </c>
      <c r="B222" s="15" t="n">
        <v>1360</v>
      </c>
    </row>
    <row r="223">
      <c r="A223" s="53" t="n">
        <v>44888</v>
      </c>
      <c r="B223" s="15" t="n">
        <v>1380</v>
      </c>
    </row>
    <row r="224">
      <c r="A224" s="53" t="n">
        <v>44889</v>
      </c>
      <c r="B224" s="15" t="n">
        <v>1385</v>
      </c>
    </row>
    <row r="225">
      <c r="A225" s="53" t="n">
        <v>44890</v>
      </c>
      <c r="B225" s="15" t="n">
        <v>1370</v>
      </c>
    </row>
    <row r="226">
      <c r="A226" s="53" t="n">
        <v>44893</v>
      </c>
      <c r="B226" s="15" t="n">
        <v>1360</v>
      </c>
    </row>
    <row r="227">
      <c r="A227" s="53" t="n">
        <v>44894</v>
      </c>
      <c r="B227" s="15" t="n">
        <v>1330</v>
      </c>
    </row>
    <row r="228">
      <c r="A228" s="53" t="n">
        <v>44895</v>
      </c>
      <c r="B228" s="15" t="n">
        <v>1335</v>
      </c>
    </row>
    <row r="229">
      <c r="A229" s="53" t="n">
        <v>44896</v>
      </c>
      <c r="B229" s="15" t="n">
        <v>1325</v>
      </c>
    </row>
    <row r="230">
      <c r="A230" s="53" t="n">
        <v>44897</v>
      </c>
      <c r="B230" s="15" t="n">
        <v>1320</v>
      </c>
    </row>
    <row r="231">
      <c r="A231" s="53" t="n">
        <v>44900</v>
      </c>
      <c r="B231" s="15" t="n">
        <v>1310</v>
      </c>
    </row>
    <row r="232">
      <c r="A232" s="53" t="n">
        <v>44901</v>
      </c>
      <c r="B232" s="15" t="n">
        <v>1295</v>
      </c>
    </row>
    <row r="233">
      <c r="A233" s="53" t="n">
        <v>44902</v>
      </c>
      <c r="B233" s="15" t="n">
        <v>1270</v>
      </c>
    </row>
    <row r="234">
      <c r="A234" s="53" t="n">
        <v>44903</v>
      </c>
      <c r="B234" s="15" t="n">
        <v>1265</v>
      </c>
    </row>
    <row r="235">
      <c r="A235" s="53" t="n">
        <v>44904</v>
      </c>
      <c r="B235" s="15" t="n">
        <v>1230</v>
      </c>
    </row>
    <row r="236">
      <c r="A236" s="53" t="n">
        <v>44907</v>
      </c>
      <c r="B236" s="15" t="n">
        <v>1245</v>
      </c>
    </row>
    <row r="237">
      <c r="A237" s="53" t="n">
        <v>44908</v>
      </c>
      <c r="B237" s="15" t="n">
        <v>1295</v>
      </c>
    </row>
    <row r="238">
      <c r="A238" s="53" t="n">
        <v>44909</v>
      </c>
      <c r="B238" s="15" t="n">
        <v>1215</v>
      </c>
    </row>
    <row r="239">
      <c r="A239" s="53" t="n">
        <v>44910</v>
      </c>
      <c r="B239" s="15" t="n">
        <v>1210</v>
      </c>
    </row>
    <row r="240">
      <c r="A240" s="53" t="n">
        <v>44911</v>
      </c>
      <c r="B240" s="15" t="n">
        <v>1200</v>
      </c>
    </row>
    <row r="241">
      <c r="A241" s="53" t="n">
        <v>44914</v>
      </c>
      <c r="B241" s="15" t="n">
        <v>1120</v>
      </c>
    </row>
    <row r="242">
      <c r="A242" s="53" t="n">
        <v>44915</v>
      </c>
      <c r="B242" s="15" t="n">
        <v>1100</v>
      </c>
    </row>
    <row r="243">
      <c r="A243" s="53" t="n">
        <v>44916</v>
      </c>
      <c r="B243" s="15" t="n">
        <v>1150</v>
      </c>
    </row>
    <row r="244">
      <c r="A244" s="53" t="n">
        <v>44917</v>
      </c>
      <c r="B244" s="15" t="n">
        <v>1220</v>
      </c>
    </row>
    <row r="245">
      <c r="A245" s="53" t="n">
        <v>44918</v>
      </c>
      <c r="B245" s="15" t="n">
        <v>1215</v>
      </c>
    </row>
    <row r="246">
      <c r="A246" s="53" t="n">
        <v>44921</v>
      </c>
      <c r="B246" s="15" t="n">
        <v>1310</v>
      </c>
    </row>
    <row r="247">
      <c r="A247" s="53" t="n">
        <v>44922</v>
      </c>
      <c r="B247" s="15" t="n">
        <v>1280</v>
      </c>
    </row>
    <row r="248">
      <c r="A248" s="53" t="n">
        <v>44923</v>
      </c>
      <c r="B248" s="15" t="n">
        <v>1270</v>
      </c>
    </row>
    <row r="249">
      <c r="A249" s="53" t="n">
        <v>44924</v>
      </c>
      <c r="B249" s="15" t="n">
        <v>1290</v>
      </c>
    </row>
    <row r="250">
      <c r="A250" s="53" t="n">
        <v>44925</v>
      </c>
      <c r="B250" s="15" t="n">
        <v>1290</v>
      </c>
    </row>
    <row r="251">
      <c r="A251" s="53" t="n">
        <v>44928</v>
      </c>
      <c r="B251" s="15" t="n">
        <v>1285</v>
      </c>
    </row>
    <row r="252">
      <c r="A252" s="53" t="n">
        <v>44929</v>
      </c>
      <c r="B252" s="15" t="n">
        <v>1395</v>
      </c>
    </row>
    <row r="253">
      <c r="A253" s="53" t="n">
        <v>44930</v>
      </c>
      <c r="B253" s="15" t="n">
        <v>1385</v>
      </c>
    </row>
    <row r="254">
      <c r="A254" s="53" t="n">
        <v>44931</v>
      </c>
      <c r="B254" s="15" t="n">
        <v>1335</v>
      </c>
    </row>
    <row r="255">
      <c r="A255" s="53" t="n">
        <v>44932</v>
      </c>
      <c r="B255" s="15" t="n">
        <v>1390</v>
      </c>
    </row>
    <row r="256">
      <c r="A256" s="53" t="n">
        <v>44935</v>
      </c>
      <c r="B256" s="15" t="n">
        <v>1365</v>
      </c>
    </row>
    <row r="257">
      <c r="A257" s="53" t="n">
        <v>44936</v>
      </c>
      <c r="B257" s="15" t="n">
        <v>1325</v>
      </c>
    </row>
    <row r="258">
      <c r="A258" s="53" t="n">
        <v>44937</v>
      </c>
      <c r="B258" s="15" t="n">
        <v>1335</v>
      </c>
    </row>
    <row r="259">
      <c r="A259" s="53" t="n">
        <v>44938</v>
      </c>
      <c r="B259" s="15" t="n">
        <v>1330</v>
      </c>
    </row>
    <row r="260">
      <c r="A260" s="53" t="n">
        <v>44939</v>
      </c>
      <c r="B260" s="15" t="n">
        <v>1320</v>
      </c>
    </row>
    <row r="261">
      <c r="A261" s="53" t="n">
        <v>44942</v>
      </c>
      <c r="B261" s="15" t="n">
        <v>1330</v>
      </c>
    </row>
    <row r="262">
      <c r="A262" s="53" t="n">
        <v>44943</v>
      </c>
      <c r="B262" s="15" t="n">
        <v>1350</v>
      </c>
    </row>
    <row r="263">
      <c r="A263" s="53" t="n">
        <v>44944</v>
      </c>
      <c r="B263" s="15" t="n">
        <v>1350</v>
      </c>
    </row>
    <row r="264">
      <c r="A264" s="53" t="n">
        <v>44945</v>
      </c>
      <c r="B264" s="15" t="n">
        <v>1340</v>
      </c>
    </row>
    <row r="265">
      <c r="A265" s="53" t="n">
        <v>44946</v>
      </c>
      <c r="B265" s="15" t="n">
        <v>1385</v>
      </c>
    </row>
    <row r="266">
      <c r="A266" s="53" t="n">
        <v>44950</v>
      </c>
      <c r="B266" s="15" t="n">
        <v>1375</v>
      </c>
    </row>
    <row r="267">
      <c r="A267" s="53" t="n">
        <v>44951</v>
      </c>
      <c r="B267" s="15" t="n">
        <v>1375</v>
      </c>
    </row>
    <row r="268">
      <c r="A268" s="53" t="n">
        <v>44952</v>
      </c>
      <c r="B268" s="15" t="n">
        <v>1420</v>
      </c>
    </row>
    <row r="269">
      <c r="A269" s="53" t="n">
        <v>44953</v>
      </c>
      <c r="B269" s="15" t="n">
        <v>1390</v>
      </c>
    </row>
    <row r="270">
      <c r="A270" s="53" t="n">
        <v>44956</v>
      </c>
      <c r="B270" s="15" t="n">
        <v>1380</v>
      </c>
    </row>
    <row r="271">
      <c r="A271" s="53" t="n">
        <v>44957</v>
      </c>
      <c r="B271" s="15" t="n">
        <v>1335</v>
      </c>
    </row>
    <row r="272">
      <c r="A272" s="53" t="n">
        <v>44958</v>
      </c>
      <c r="B272" s="15" t="n">
        <v>1345</v>
      </c>
    </row>
    <row r="273">
      <c r="A273" s="53" t="n">
        <v>44959</v>
      </c>
      <c r="B273" s="15" t="n">
        <v>1350</v>
      </c>
    </row>
    <row r="274">
      <c r="A274" s="53" t="n">
        <v>44960</v>
      </c>
      <c r="B274" s="15" t="n">
        <v>1360</v>
      </c>
    </row>
    <row r="275">
      <c r="A275" s="53" t="n">
        <v>44963</v>
      </c>
      <c r="B275" s="15" t="n">
        <v>1315</v>
      </c>
    </row>
    <row r="276">
      <c r="A276" s="53" t="n">
        <v>44964</v>
      </c>
      <c r="B276" s="15" t="n">
        <v>1330</v>
      </c>
    </row>
    <row r="277">
      <c r="A277" s="53" t="n">
        <v>44965</v>
      </c>
      <c r="B277" s="15" t="n">
        <v>1335</v>
      </c>
    </row>
    <row r="278">
      <c r="A278" s="53" t="n">
        <v>44966</v>
      </c>
      <c r="B278" s="15" t="n">
        <v>1315</v>
      </c>
    </row>
    <row r="279">
      <c r="A279" s="53" t="n">
        <v>44967</v>
      </c>
      <c r="B279" s="15" t="n">
        <v>1325</v>
      </c>
    </row>
    <row r="280">
      <c r="A280" s="53" t="n">
        <v>44970</v>
      </c>
      <c r="B280" s="15" t="n">
        <v>1365</v>
      </c>
    </row>
    <row r="281">
      <c r="A281" s="53" t="n">
        <v>44971</v>
      </c>
      <c r="B281" s="15" t="n">
        <v>1390</v>
      </c>
    </row>
    <row r="282">
      <c r="A282" s="53" t="n">
        <v>44972</v>
      </c>
      <c r="B282" s="15" t="n">
        <v>1610</v>
      </c>
    </row>
    <row r="283">
      <c r="A283" s="53" t="n">
        <v>44973</v>
      </c>
      <c r="B283" s="15" t="n">
        <v>1625</v>
      </c>
    </row>
    <row r="284">
      <c r="A284" s="53" t="n">
        <v>44974</v>
      </c>
      <c r="B284" s="15" t="n">
        <v>1715</v>
      </c>
    </row>
    <row r="285">
      <c r="A285" s="53" t="n">
        <v>44977</v>
      </c>
      <c r="B285" s="15" t="n">
        <v>1705</v>
      </c>
    </row>
    <row r="286">
      <c r="A286" s="53" t="n">
        <v>44978</v>
      </c>
      <c r="B286" s="15" t="n">
        <v>1700</v>
      </c>
    </row>
    <row r="287">
      <c r="A287" s="53" t="n">
        <v>44979</v>
      </c>
      <c r="B287" s="15" t="n">
        <v>1585</v>
      </c>
    </row>
    <row r="288">
      <c r="A288" s="53" t="n">
        <v>44980</v>
      </c>
      <c r="B288" s="15" t="n">
        <v>1625</v>
      </c>
    </row>
    <row r="289">
      <c r="A289" s="53" t="n">
        <v>44981</v>
      </c>
      <c r="B289" s="15" t="n">
        <v>1630</v>
      </c>
    </row>
    <row r="290">
      <c r="A290" s="53" t="n">
        <v>44984</v>
      </c>
      <c r="B290" s="15" t="n">
        <v>1520</v>
      </c>
    </row>
    <row r="291">
      <c r="A291" s="53" t="n">
        <v>44985</v>
      </c>
      <c r="B291" s="15" t="n">
        <v>1520</v>
      </c>
    </row>
    <row r="292">
      <c r="A292" s="53" t="n">
        <v>44986</v>
      </c>
      <c r="B292" s="15" t="n">
        <v>1595</v>
      </c>
    </row>
    <row r="293">
      <c r="A293" s="53" t="n">
        <v>44987</v>
      </c>
      <c r="B293" s="15" t="n">
        <v>1565</v>
      </c>
    </row>
    <row r="294">
      <c r="A294" s="53" t="n">
        <v>44988</v>
      </c>
      <c r="B294" s="15" t="n">
        <v>1565</v>
      </c>
    </row>
    <row r="295">
      <c r="A295" s="53" t="n">
        <v>44991</v>
      </c>
      <c r="B295" s="15" t="n">
        <v>1565</v>
      </c>
    </row>
    <row r="296">
      <c r="A296" s="53" t="n">
        <v>44992</v>
      </c>
      <c r="B296" s="15" t="n">
        <v>1595</v>
      </c>
    </row>
    <row r="297">
      <c r="A297" s="53" t="n">
        <v>44993</v>
      </c>
      <c r="B297" s="15" t="n">
        <v>1555</v>
      </c>
    </row>
    <row r="298">
      <c r="A298" s="53" t="n">
        <v>44994</v>
      </c>
      <c r="B298" s="15" t="n">
        <v>1595</v>
      </c>
    </row>
    <row r="299">
      <c r="A299" s="53" t="n">
        <v>44995</v>
      </c>
      <c r="B299" s="15" t="n">
        <v>1565</v>
      </c>
    </row>
    <row r="300">
      <c r="A300" s="53" t="n">
        <v>44998</v>
      </c>
      <c r="B300" s="15" t="n">
        <v>1580</v>
      </c>
    </row>
    <row r="301">
      <c r="A301" s="53" t="n">
        <v>44999</v>
      </c>
      <c r="B301" s="15" t="n">
        <v>1515</v>
      </c>
    </row>
    <row r="302">
      <c r="A302" s="53" t="n">
        <v>45000</v>
      </c>
      <c r="B302" s="15" t="n">
        <v>1520</v>
      </c>
    </row>
    <row r="303">
      <c r="A303" s="53" t="n">
        <v>45001</v>
      </c>
      <c r="B303" s="15" t="n">
        <v>1580</v>
      </c>
    </row>
    <row r="304">
      <c r="A304" s="53" t="n">
        <v>45002</v>
      </c>
      <c r="B304" s="15" t="n">
        <v>1630</v>
      </c>
    </row>
    <row r="305">
      <c r="A305" s="53" t="n">
        <v>45005</v>
      </c>
      <c r="B305" s="15" t="n">
        <v>1565</v>
      </c>
    </row>
    <row r="306">
      <c r="A306" s="53" t="n">
        <v>45006</v>
      </c>
      <c r="B306" s="15" t="n">
        <v>1580</v>
      </c>
    </row>
    <row r="307">
      <c r="A307" s="53" t="n">
        <v>45009</v>
      </c>
      <c r="B307" s="15" t="n">
        <v>1610</v>
      </c>
    </row>
    <row r="308">
      <c r="A308" s="53" t="n">
        <v>45012</v>
      </c>
      <c r="B308" s="15" t="n">
        <v>1610</v>
      </c>
    </row>
    <row r="309">
      <c r="A309" s="53" t="n">
        <v>45013</v>
      </c>
      <c r="B309" s="15" t="n">
        <v>1630</v>
      </c>
    </row>
    <row r="310">
      <c r="A310" s="53" t="n">
        <v>45014</v>
      </c>
      <c r="B310" s="15" t="n">
        <v>1700</v>
      </c>
    </row>
    <row r="311">
      <c r="A311" s="53" t="n">
        <v>45015</v>
      </c>
      <c r="B311" s="15" t="n">
        <v>1640</v>
      </c>
    </row>
    <row r="312">
      <c r="A312" s="53" t="n">
        <v>45016</v>
      </c>
      <c r="B312" s="15" t="n">
        <v>1680</v>
      </c>
    </row>
    <row r="313">
      <c r="A313" s="53" t="n">
        <v>45019</v>
      </c>
      <c r="B313" s="15" t="n">
        <v>1695</v>
      </c>
    </row>
    <row r="314">
      <c r="A314" s="53" t="n">
        <v>45020</v>
      </c>
      <c r="B314" s="15" t="n">
        <v>1670</v>
      </c>
    </row>
    <row r="315">
      <c r="A315" s="53" t="n">
        <v>45021</v>
      </c>
      <c r="B315" s="15" t="n">
        <v>1750</v>
      </c>
    </row>
    <row r="316">
      <c r="A316" s="53" t="n">
        <v>45022</v>
      </c>
      <c r="B316" s="15" t="n">
        <v>1810</v>
      </c>
    </row>
    <row r="317">
      <c r="A317" s="53" t="n">
        <v>45026</v>
      </c>
      <c r="B317" s="15" t="n">
        <v>1805</v>
      </c>
    </row>
    <row r="318">
      <c r="A318" s="53" t="n">
        <v>45027</v>
      </c>
      <c r="B318" s="15" t="n">
        <v>1780</v>
      </c>
    </row>
    <row r="319">
      <c r="A319" s="53" t="n">
        <v>45028</v>
      </c>
      <c r="B319" s="15" t="n">
        <v>1775</v>
      </c>
    </row>
    <row r="320">
      <c r="A320" s="53" t="n">
        <v>45029</v>
      </c>
      <c r="B320" s="15" t="n">
        <v>1720</v>
      </c>
    </row>
    <row r="321">
      <c r="A321" s="53" t="n">
        <v>45030</v>
      </c>
      <c r="B321" s="15" t="n">
        <v>1785</v>
      </c>
    </row>
    <row r="322">
      <c r="A322" s="53" t="n">
        <v>45033</v>
      </c>
      <c r="B322" s="15" t="n">
        <v>1735</v>
      </c>
    </row>
    <row r="323">
      <c r="A323" s="53" t="n">
        <v>45034</v>
      </c>
      <c r="B323" s="15" t="n">
        <v>1730</v>
      </c>
    </row>
    <row r="324">
      <c r="A324" s="53" t="n">
        <v>45042</v>
      </c>
      <c r="B324" s="15" t="n">
        <v>1705</v>
      </c>
    </row>
    <row r="325">
      <c r="A325" s="53" t="n">
        <v>45043</v>
      </c>
      <c r="B325" s="15" t="n">
        <v>1675</v>
      </c>
    </row>
    <row r="326">
      <c r="A326" s="53" t="n">
        <v>45044</v>
      </c>
      <c r="B326" s="15" t="n">
        <v>1730</v>
      </c>
    </row>
    <row r="327">
      <c r="A327" s="53" t="n">
        <v>45048</v>
      </c>
      <c r="B327" s="15" t="n">
        <v>1685</v>
      </c>
    </row>
    <row r="328">
      <c r="A328" s="53" t="n">
        <v>45049</v>
      </c>
      <c r="B328" s="15" t="n">
        <v>1715</v>
      </c>
    </row>
    <row r="329">
      <c r="A329" s="53" t="n">
        <v>45050</v>
      </c>
      <c r="B329" s="15" t="n">
        <v>1750</v>
      </c>
    </row>
    <row r="330">
      <c r="A330" s="53" t="n">
        <v>45051</v>
      </c>
      <c r="B330" s="15" t="n">
        <v>1750</v>
      </c>
    </row>
    <row r="331">
      <c r="A331" s="53" t="n">
        <v>45054</v>
      </c>
      <c r="B331" s="15" t="n">
        <v>1755</v>
      </c>
    </row>
    <row r="332">
      <c r="A332" s="53" t="n">
        <v>45055</v>
      </c>
      <c r="B332" s="15" t="n">
        <v>1750</v>
      </c>
    </row>
    <row r="333">
      <c r="A333" s="53" t="n">
        <v>45056</v>
      </c>
      <c r="B333" s="15" t="n">
        <v>1795</v>
      </c>
    </row>
    <row r="334">
      <c r="A334" s="53" t="n">
        <v>45057</v>
      </c>
      <c r="B334" s="15" t="n">
        <v>1755</v>
      </c>
    </row>
    <row r="335">
      <c r="A335" s="53" t="n">
        <v>45058</v>
      </c>
      <c r="B335" s="15" t="n">
        <v>1810</v>
      </c>
    </row>
    <row r="336">
      <c r="A336" s="53" t="n">
        <v>45061</v>
      </c>
      <c r="B336" s="15" t="n">
        <v>1720</v>
      </c>
    </row>
    <row r="337">
      <c r="A337" s="53" t="n">
        <v>45062</v>
      </c>
      <c r="B337" s="15" t="n">
        <v>1600</v>
      </c>
    </row>
    <row r="338">
      <c r="A338" s="53" t="n">
        <v>45063</v>
      </c>
      <c r="B338" s="15" t="n">
        <v>1600</v>
      </c>
    </row>
    <row r="339">
      <c r="A339" s="53" t="n">
        <v>45065</v>
      </c>
      <c r="B339" s="15" t="n">
        <v>1710</v>
      </c>
    </row>
    <row r="340">
      <c r="A340" s="53" t="n">
        <v>45068</v>
      </c>
      <c r="B340" s="15" t="n">
        <v>1695</v>
      </c>
    </row>
    <row r="341">
      <c r="A341" s="53" t="n">
        <v>45069</v>
      </c>
      <c r="B341" s="15" t="n">
        <v>1670</v>
      </c>
    </row>
    <row r="342">
      <c r="A342" s="53" t="n">
        <v>45070</v>
      </c>
      <c r="B342" s="15" t="n">
        <v>1680</v>
      </c>
    </row>
    <row r="343">
      <c r="A343" s="53" t="n">
        <v>45071</v>
      </c>
      <c r="B343" s="15" t="n">
        <v>1700</v>
      </c>
    </row>
    <row r="344">
      <c r="A344" s="53" t="n">
        <v>45072</v>
      </c>
      <c r="B344" s="15" t="n">
        <v>1735</v>
      </c>
    </row>
    <row r="345">
      <c r="A345" s="53" t="n">
        <v>45075</v>
      </c>
      <c r="B345" s="15" t="n">
        <v>1765</v>
      </c>
    </row>
    <row r="346">
      <c r="A346" s="53" t="n">
        <v>45076</v>
      </c>
      <c r="B346" s="15" t="n">
        <v>1740</v>
      </c>
    </row>
    <row r="347">
      <c r="A347" s="53" t="n">
        <v>45077</v>
      </c>
      <c r="B347" s="15" t="n">
        <v>1730</v>
      </c>
    </row>
    <row r="348">
      <c r="A348" s="53" t="n">
        <v>45082</v>
      </c>
      <c r="B348" s="15" t="n">
        <v>1735</v>
      </c>
    </row>
    <row r="349">
      <c r="A349" s="53" t="n">
        <v>45083</v>
      </c>
      <c r="B349" s="15" t="n">
        <v>1695</v>
      </c>
    </row>
    <row r="350">
      <c r="A350" s="53" t="n">
        <v>45084</v>
      </c>
      <c r="B350" s="15" t="n">
        <v>1710</v>
      </c>
    </row>
    <row r="351">
      <c r="A351" s="53" t="n">
        <v>45085</v>
      </c>
      <c r="B351" s="15" t="n">
        <v>1685</v>
      </c>
    </row>
    <row r="352">
      <c r="A352" s="53" t="n">
        <v>45086</v>
      </c>
      <c r="B352" s="15" t="n">
        <v>1680</v>
      </c>
    </row>
    <row r="353">
      <c r="A353" s="53" t="n">
        <v>45089</v>
      </c>
      <c r="B353" s="15" t="n">
        <v>1665</v>
      </c>
    </row>
    <row r="354">
      <c r="A354" s="53" t="n">
        <v>45090</v>
      </c>
      <c r="B354" s="15" t="n">
        <v>1660</v>
      </c>
    </row>
    <row r="355">
      <c r="A355" s="53" t="n">
        <v>45091</v>
      </c>
      <c r="B355" s="15" t="n">
        <v>1670</v>
      </c>
    </row>
    <row r="356">
      <c r="A356" s="53" t="n">
        <v>45092</v>
      </c>
      <c r="B356" s="15" t="n">
        <v>1680</v>
      </c>
    </row>
    <row r="357">
      <c r="A357" s="53" t="n">
        <v>45093</v>
      </c>
      <c r="B357" s="15" t="n">
        <v>1670</v>
      </c>
    </row>
    <row r="358">
      <c r="A358" s="53" t="n">
        <v>45096</v>
      </c>
      <c r="B358" s="15" t="n">
        <v>1650</v>
      </c>
    </row>
    <row r="359">
      <c r="A359" s="53" t="n">
        <v>45097</v>
      </c>
      <c r="B359" s="15" t="n">
        <v>1645</v>
      </c>
    </row>
    <row r="360">
      <c r="A360" s="53" t="n">
        <v>45098</v>
      </c>
      <c r="B360" s="15" t="n">
        <v>1640</v>
      </c>
    </row>
    <row r="361">
      <c r="A361" s="53" t="n">
        <v>45099</v>
      </c>
      <c r="B361" s="15" t="n">
        <v>1690</v>
      </c>
    </row>
    <row r="362">
      <c r="A362" s="53" t="n">
        <v>45100</v>
      </c>
      <c r="B362" s="15" t="n">
        <v>1680</v>
      </c>
    </row>
    <row r="363">
      <c r="A363" s="53" t="n">
        <v>45103</v>
      </c>
      <c r="B363" s="15" t="n">
        <v>1665</v>
      </c>
    </row>
    <row r="364">
      <c r="A364" s="53" t="n">
        <v>45104</v>
      </c>
      <c r="B364" s="15" t="n">
        <v>1690</v>
      </c>
    </row>
    <row r="365">
      <c r="A365" s="53" t="n">
        <v>45110</v>
      </c>
      <c r="B365" s="15" t="n">
        <v>1690</v>
      </c>
    </row>
    <row r="366">
      <c r="A366" s="53" t="n">
        <v>45111</v>
      </c>
      <c r="B366" s="15" t="n">
        <v>1790</v>
      </c>
    </row>
    <row r="367">
      <c r="A367" s="53" t="n">
        <v>45112</v>
      </c>
      <c r="B367" s="15" t="n">
        <v>1750</v>
      </c>
    </row>
    <row r="368">
      <c r="A368" s="53" t="n">
        <v>45113</v>
      </c>
      <c r="B368" s="15" t="n">
        <v>1710</v>
      </c>
    </row>
    <row r="369">
      <c r="A369" s="53" t="n">
        <v>45114</v>
      </c>
      <c r="B369" s="15" t="n">
        <v>1735</v>
      </c>
    </row>
    <row r="370">
      <c r="A370" s="53" t="n">
        <v>45117</v>
      </c>
      <c r="B370" s="15" t="n">
        <v>1715</v>
      </c>
    </row>
    <row r="371">
      <c r="A371" s="53" t="n">
        <v>45118</v>
      </c>
      <c r="B371" s="15" t="n">
        <v>1715</v>
      </c>
    </row>
    <row r="372">
      <c r="A372" s="53" t="n">
        <v>45119</v>
      </c>
      <c r="B372" s="15" t="n">
        <v>1740</v>
      </c>
    </row>
    <row r="373">
      <c r="A373" s="53" t="n">
        <v>45120</v>
      </c>
      <c r="B373" s="15" t="n">
        <v>1705</v>
      </c>
    </row>
    <row r="374">
      <c r="A374" s="53" t="n">
        <v>45121</v>
      </c>
      <c r="B374" s="15" t="n">
        <v>1695</v>
      </c>
    </row>
    <row r="375">
      <c r="A375" s="53" t="n">
        <v>45124</v>
      </c>
      <c r="B375" s="15" t="n">
        <v>1680</v>
      </c>
    </row>
    <row r="376">
      <c r="A376" s="53" t="n">
        <v>45125</v>
      </c>
      <c r="B376" s="15" t="n">
        <v>1670</v>
      </c>
    </row>
    <row r="377">
      <c r="A377" s="53" t="n">
        <v>45127</v>
      </c>
      <c r="B377" s="15" t="n">
        <v>1675</v>
      </c>
    </row>
    <row r="378">
      <c r="A378" s="53" t="n">
        <v>45128</v>
      </c>
      <c r="B378" s="15" t="n">
        <v>1690</v>
      </c>
    </row>
    <row r="379">
      <c r="A379" s="53" t="n">
        <v>45131</v>
      </c>
      <c r="B379" s="15" t="n">
        <v>1690</v>
      </c>
    </row>
    <row r="380">
      <c r="A380" s="53" t="n">
        <v>45132</v>
      </c>
      <c r="B380" s="15" t="n">
        <v>1665</v>
      </c>
    </row>
    <row r="381">
      <c r="A381" s="53" t="n">
        <v>45133</v>
      </c>
      <c r="B381" s="15" t="n">
        <v>1665</v>
      </c>
    </row>
    <row r="382">
      <c r="A382" s="53" t="n">
        <v>45134</v>
      </c>
      <c r="B382" s="15" t="n">
        <v>1660</v>
      </c>
    </row>
    <row r="383">
      <c r="A383" s="53" t="n">
        <v>45135</v>
      </c>
      <c r="B383" s="15" t="n">
        <v>1650</v>
      </c>
    </row>
    <row r="384">
      <c r="A384" s="53" t="n">
        <v>45138</v>
      </c>
      <c r="B384" s="15" t="n">
        <v>1655</v>
      </c>
    </row>
    <row r="385">
      <c r="A385" s="53" t="n">
        <v>45139</v>
      </c>
      <c r="B385" s="15" t="n">
        <v>1645</v>
      </c>
    </row>
    <row r="386">
      <c r="A386" s="53" t="n">
        <v>45140</v>
      </c>
      <c r="B386" s="15" t="n">
        <v>1605</v>
      </c>
    </row>
    <row r="387">
      <c r="A387" s="53" t="n">
        <v>45141</v>
      </c>
      <c r="B387" s="15" t="n">
        <v>1600</v>
      </c>
    </row>
    <row r="388">
      <c r="A388" s="53" t="n">
        <v>45142</v>
      </c>
      <c r="B388" s="15" t="n">
        <v>1610</v>
      </c>
    </row>
    <row r="389">
      <c r="A389" s="53" t="n">
        <v>45145</v>
      </c>
      <c r="B389" s="15" t="n">
        <v>1665</v>
      </c>
    </row>
    <row r="390">
      <c r="A390" s="53" t="n">
        <v>45146</v>
      </c>
      <c r="B390" s="15" t="n">
        <v>1670</v>
      </c>
    </row>
    <row r="391">
      <c r="A391" s="53" t="n">
        <v>45147</v>
      </c>
      <c r="B391" s="15" t="n">
        <v>1675</v>
      </c>
    </row>
    <row r="392">
      <c r="A392" s="53" t="n">
        <v>45148</v>
      </c>
      <c r="B392" s="15" t="n">
        <v>1660</v>
      </c>
    </row>
    <row r="393">
      <c r="A393" s="53" t="n">
        <v>45149</v>
      </c>
      <c r="B393" s="15" t="n">
        <v>1645</v>
      </c>
    </row>
    <row r="394">
      <c r="A394" s="53" t="n">
        <v>45152</v>
      </c>
      <c r="B394" s="15" t="n">
        <v>1685</v>
      </c>
    </row>
    <row r="395">
      <c r="A395" s="53" t="n">
        <v>45153</v>
      </c>
      <c r="B395" s="15" t="n">
        <v>1725</v>
      </c>
    </row>
    <row r="396">
      <c r="A396" s="53" t="n">
        <v>45154</v>
      </c>
      <c r="B396" s="15" t="n">
        <v>1705</v>
      </c>
    </row>
    <row r="397">
      <c r="A397" s="53" t="n">
        <v>45156</v>
      </c>
      <c r="B397" s="15" t="n">
        <v>1710</v>
      </c>
    </row>
    <row r="398">
      <c r="A398" s="53" t="n">
        <v>45159</v>
      </c>
      <c r="B398" s="15" t="n">
        <v>1700</v>
      </c>
    </row>
    <row r="399">
      <c r="A399" s="53" t="n">
        <v>45160</v>
      </c>
      <c r="B399" s="15" t="n">
        <v>1670</v>
      </c>
    </row>
    <row r="400">
      <c r="A400" s="53" t="n">
        <v>45161</v>
      </c>
      <c r="B400" s="15" t="n">
        <v>1685</v>
      </c>
    </row>
    <row r="401">
      <c r="A401" s="53" t="n">
        <v>45162</v>
      </c>
      <c r="B401" s="15" t="n">
        <v>1680</v>
      </c>
    </row>
    <row r="402">
      <c r="A402" s="53" t="n">
        <v>45163</v>
      </c>
      <c r="B402" s="15" t="n">
        <v>1685</v>
      </c>
    </row>
    <row r="403">
      <c r="A403" s="53" t="n">
        <v>45166</v>
      </c>
      <c r="B403" s="15" t="n">
        <v>1695</v>
      </c>
    </row>
    <row r="404">
      <c r="A404" s="53" t="n">
        <v>45167</v>
      </c>
      <c r="B404" s="15" t="n">
        <v>1685</v>
      </c>
    </row>
    <row r="405">
      <c r="A405" s="53" t="n">
        <v>45168</v>
      </c>
      <c r="B405" s="15" t="n">
        <v>1685</v>
      </c>
    </row>
    <row r="406">
      <c r="A406" s="53" t="n">
        <v>45169</v>
      </c>
      <c r="B406" s="15" t="n">
        <v>1710</v>
      </c>
    </row>
    <row r="407">
      <c r="A407" s="53" t="n">
        <v>45170</v>
      </c>
      <c r="B407" s="15" t="n">
        <v>1685</v>
      </c>
    </row>
    <row r="408">
      <c r="A408" s="53" t="n">
        <v>45173</v>
      </c>
      <c r="B408" s="15" t="n">
        <v>1670</v>
      </c>
    </row>
    <row r="409">
      <c r="A409" s="53" t="n">
        <v>45174</v>
      </c>
      <c r="B409" s="15" t="n">
        <v>1645</v>
      </c>
    </row>
    <row r="410">
      <c r="A410" s="53" t="n">
        <v>45175</v>
      </c>
      <c r="B410" s="15" t="n">
        <v>1660</v>
      </c>
    </row>
    <row r="411">
      <c r="A411" s="53" t="n">
        <v>45176</v>
      </c>
      <c r="B411" s="15" t="n">
        <v>1640</v>
      </c>
    </row>
    <row r="412">
      <c r="A412" s="53" t="n">
        <v>45177</v>
      </c>
      <c r="B412" s="15" t="n">
        <v>1640</v>
      </c>
    </row>
    <row r="413">
      <c r="A413" s="53" t="n">
        <v>45180</v>
      </c>
      <c r="B413" s="15" t="n">
        <v>1655</v>
      </c>
    </row>
    <row r="414">
      <c r="A414" s="53" t="n">
        <v>45181</v>
      </c>
      <c r="B414" s="15" t="n">
        <v>1640</v>
      </c>
    </row>
    <row r="415">
      <c r="A415" s="53" t="n">
        <v>45182</v>
      </c>
      <c r="B415" s="15" t="n">
        <v>1655</v>
      </c>
    </row>
    <row r="416">
      <c r="A416" s="53" t="n">
        <v>45183</v>
      </c>
      <c r="B416" s="15" t="n">
        <v>1660</v>
      </c>
    </row>
    <row r="417">
      <c r="A417" s="53" t="n">
        <v>45184</v>
      </c>
      <c r="B417" s="15" t="n">
        <v>1655</v>
      </c>
    </row>
    <row r="418">
      <c r="A418" s="53" t="n">
        <v>45187</v>
      </c>
      <c r="B418" s="15" t="n">
        <v>1605</v>
      </c>
    </row>
    <row r="419">
      <c r="A419" s="53" t="n">
        <v>45188</v>
      </c>
      <c r="B419" s="15" t="n">
        <v>1620</v>
      </c>
    </row>
    <row r="420">
      <c r="A420" s="53" t="n">
        <v>45189</v>
      </c>
      <c r="B420" s="15" t="n">
        <v>1715</v>
      </c>
    </row>
    <row r="421">
      <c r="A421" s="53" t="n">
        <v>45190</v>
      </c>
      <c r="B421" s="15" t="n">
        <v>1650</v>
      </c>
    </row>
    <row r="422">
      <c r="A422" s="53" t="n">
        <v>45191</v>
      </c>
      <c r="B422" s="15" t="n">
        <v>1640</v>
      </c>
    </row>
    <row r="423">
      <c r="A423" s="53" t="n">
        <v>45194</v>
      </c>
      <c r="B423" s="15" t="n">
        <v>1620</v>
      </c>
    </row>
    <row r="424">
      <c r="A424" s="53" t="n">
        <v>45195</v>
      </c>
      <c r="B424" s="15" t="n">
        <v>1605</v>
      </c>
    </row>
    <row r="425">
      <c r="A425" s="53" t="n">
        <v>45196</v>
      </c>
      <c r="B425" s="15" t="n">
        <v>1615</v>
      </c>
    </row>
    <row r="426">
      <c r="A426" s="53" t="n">
        <v>45198</v>
      </c>
      <c r="B426" s="15" t="n">
        <v>1625</v>
      </c>
    </row>
    <row r="427">
      <c r="A427" s="53" t="n">
        <v>45201</v>
      </c>
      <c r="B427" s="15" t="n">
        <v>1615</v>
      </c>
    </row>
    <row r="428">
      <c r="A428" s="53" t="n">
        <v>45202</v>
      </c>
      <c r="B428" s="15" t="n">
        <v>1540</v>
      </c>
    </row>
    <row r="429">
      <c r="A429" s="53" t="n">
        <v>45203</v>
      </c>
      <c r="B429" s="15" t="n">
        <v>1510</v>
      </c>
    </row>
    <row r="430">
      <c r="A430" s="53" t="n">
        <v>45204</v>
      </c>
      <c r="B430" s="15" t="n">
        <v>1545</v>
      </c>
    </row>
    <row r="431">
      <c r="A431" s="53" t="n">
        <v>45205</v>
      </c>
      <c r="B431" s="15" t="n">
        <v>1540</v>
      </c>
    </row>
    <row r="432">
      <c r="A432" s="53" t="n">
        <v>45208</v>
      </c>
      <c r="B432" s="15" t="n">
        <v>1560</v>
      </c>
    </row>
    <row r="433">
      <c r="A433" s="53" t="n">
        <v>45209</v>
      </c>
      <c r="B433" s="15" t="n">
        <v>1565</v>
      </c>
    </row>
    <row r="434">
      <c r="A434" s="53" t="n">
        <v>45210</v>
      </c>
      <c r="B434" s="15" t="n">
        <v>1555</v>
      </c>
    </row>
    <row r="435">
      <c r="A435" s="53" t="n">
        <v>45211</v>
      </c>
      <c r="B435" s="15" t="n">
        <v>1585</v>
      </c>
    </row>
    <row r="436">
      <c r="A436" s="53" t="n">
        <v>45212</v>
      </c>
      <c r="B436" s="15" t="n">
        <v>1540</v>
      </c>
    </row>
    <row r="437">
      <c r="A437" s="53" t="n">
        <v>45215</v>
      </c>
      <c r="B437" s="15" t="n">
        <v>1525</v>
      </c>
    </row>
    <row r="438">
      <c r="A438" s="53" t="n">
        <v>45216</v>
      </c>
      <c r="B438" s="15" t="n">
        <v>1540</v>
      </c>
    </row>
    <row r="439">
      <c r="A439" s="53" t="n">
        <v>45217</v>
      </c>
      <c r="B439" s="15" t="n">
        <v>1535</v>
      </c>
    </row>
    <row r="440">
      <c r="A440" s="53" t="n">
        <v>45218</v>
      </c>
      <c r="B440" s="15" t="n">
        <v>1510</v>
      </c>
    </row>
    <row r="441">
      <c r="A441" s="53" t="n">
        <v>45219</v>
      </c>
      <c r="B441" s="15" t="n">
        <v>1520</v>
      </c>
    </row>
    <row r="442">
      <c r="A442" s="53" t="n">
        <v>45222</v>
      </c>
      <c r="B442" s="15" t="n">
        <v>1490</v>
      </c>
    </row>
    <row r="443">
      <c r="A443" s="53" t="n">
        <v>45223</v>
      </c>
      <c r="B443" s="15" t="n">
        <v>1545</v>
      </c>
    </row>
    <row r="444">
      <c r="A444" s="53" t="n">
        <v>45224</v>
      </c>
      <c r="B444" s="15" t="n">
        <v>1525</v>
      </c>
    </row>
    <row r="445">
      <c r="A445" s="53" t="n">
        <v>45225</v>
      </c>
      <c r="B445" s="15" t="n">
        <v>1515</v>
      </c>
    </row>
    <row r="446">
      <c r="A446" s="53" t="n">
        <v>45226</v>
      </c>
      <c r="B446" s="15" t="n">
        <v>1530</v>
      </c>
    </row>
    <row r="447">
      <c r="A447" s="53" t="n">
        <v>45229</v>
      </c>
      <c r="B447" s="15" t="n">
        <v>1510</v>
      </c>
    </row>
    <row r="448">
      <c r="A448" s="53" t="n">
        <v>45230</v>
      </c>
      <c r="B448" s="15" t="n">
        <v>1500</v>
      </c>
    </row>
    <row r="449">
      <c r="A449" s="53" t="n">
        <v>45231</v>
      </c>
      <c r="B449" s="15" t="n">
        <v>1490</v>
      </c>
    </row>
    <row r="450">
      <c r="A450" s="53" t="n">
        <v>45232</v>
      </c>
      <c r="B450" s="15" t="n">
        <v>1500</v>
      </c>
    </row>
    <row r="451">
      <c r="A451" s="53" t="n">
        <v>45233</v>
      </c>
      <c r="B451" s="15" t="n">
        <v>1505</v>
      </c>
    </row>
    <row r="452">
      <c r="A452" s="53" t="n">
        <v>45236</v>
      </c>
      <c r="B452" s="15" t="n">
        <v>1520</v>
      </c>
    </row>
    <row r="453">
      <c r="A453" s="53" t="n">
        <v>45237</v>
      </c>
      <c r="B453" s="15" t="n">
        <v>1500</v>
      </c>
    </row>
    <row r="454">
      <c r="A454" s="53" t="n">
        <v>45238</v>
      </c>
      <c r="B454" s="15" t="n">
        <v>1465</v>
      </c>
    </row>
    <row r="455">
      <c r="A455" s="53" t="n">
        <v>45239</v>
      </c>
      <c r="B455" s="15" t="n">
        <v>1475</v>
      </c>
    </row>
    <row r="456">
      <c r="A456" s="53" t="n">
        <v>45240</v>
      </c>
      <c r="B456" s="15" t="n">
        <v>1465</v>
      </c>
    </row>
    <row r="457">
      <c r="A457" s="53" t="n">
        <v>45243</v>
      </c>
      <c r="B457" s="15" t="n">
        <v>1460</v>
      </c>
    </row>
    <row r="458">
      <c r="A458" s="53" t="n">
        <v>45244</v>
      </c>
      <c r="B458" s="15" t="n">
        <v>1480</v>
      </c>
    </row>
    <row r="459">
      <c r="A459" s="53" t="n">
        <v>45245</v>
      </c>
      <c r="B459" s="15" t="n">
        <v>1535</v>
      </c>
    </row>
    <row r="460">
      <c r="A460" s="53" t="n">
        <v>45246</v>
      </c>
      <c r="B460" s="15" t="n">
        <v>1545</v>
      </c>
    </row>
    <row r="461">
      <c r="A461" s="53" t="n">
        <v>45247</v>
      </c>
      <c r="B461" s="15" t="n">
        <v>1605</v>
      </c>
    </row>
    <row r="462">
      <c r="A462" s="53" t="n">
        <v>45250</v>
      </c>
      <c r="B462" s="15" t="n">
        <v>1635</v>
      </c>
    </row>
    <row r="463">
      <c r="A463" s="53" t="n">
        <v>45251</v>
      </c>
      <c r="B463" s="15" t="n">
        <v>1640</v>
      </c>
    </row>
    <row r="464">
      <c r="A464" s="53" t="n">
        <v>45252</v>
      </c>
      <c r="B464" s="15" t="n">
        <v>1615</v>
      </c>
    </row>
    <row r="465">
      <c r="A465" s="53" t="n">
        <v>45253</v>
      </c>
      <c r="B465" s="15" t="n">
        <v>1625</v>
      </c>
    </row>
    <row r="466">
      <c r="A466" s="53" t="n">
        <v>45254</v>
      </c>
      <c r="B466" s="15" t="n">
        <v>1655</v>
      </c>
    </row>
    <row r="467">
      <c r="A467" s="53" t="n">
        <v>45257</v>
      </c>
      <c r="B467" s="15" t="n">
        <v>1645</v>
      </c>
    </row>
    <row r="468">
      <c r="A468" s="53" t="n">
        <v>45258</v>
      </c>
      <c r="B468" s="15" t="n">
        <v>1660</v>
      </c>
    </row>
    <row r="469">
      <c r="A469" s="53" t="n">
        <v>45259</v>
      </c>
      <c r="B469" s="15" t="n">
        <v>1645</v>
      </c>
    </row>
    <row r="470">
      <c r="A470" s="53" t="n">
        <v>45260</v>
      </c>
      <c r="B470" s="15" t="n">
        <v>1655</v>
      </c>
    </row>
    <row r="471">
      <c r="A471" s="53" t="n">
        <v>45261</v>
      </c>
      <c r="B471" s="15" t="n">
        <v>1675</v>
      </c>
    </row>
    <row r="472">
      <c r="A472" s="53" t="n">
        <v>45264</v>
      </c>
      <c r="B472" s="15" t="n">
        <v>1700</v>
      </c>
    </row>
    <row r="473">
      <c r="A473" s="53" t="n">
        <v>45265</v>
      </c>
      <c r="B473" s="15" t="n">
        <v>1715</v>
      </c>
    </row>
    <row r="474">
      <c r="A474" s="53" t="n">
        <v>45266</v>
      </c>
      <c r="B474" s="15" t="n">
        <v>1740</v>
      </c>
    </row>
    <row r="475">
      <c r="A475" s="53" t="n">
        <v>45267</v>
      </c>
      <c r="B475" s="15" t="n">
        <v>1685</v>
      </c>
    </row>
    <row r="476">
      <c r="A476" s="53" t="n">
        <v>45268</v>
      </c>
      <c r="B476" s="15" t="n">
        <v>1685</v>
      </c>
    </row>
    <row r="477">
      <c r="A477" s="53" t="n">
        <v>45271</v>
      </c>
      <c r="B477" s="15" t="n">
        <v>1670</v>
      </c>
    </row>
    <row r="478">
      <c r="A478" s="53" t="n">
        <v>45272</v>
      </c>
      <c r="B478" s="15" t="n">
        <v>1640</v>
      </c>
    </row>
    <row r="479">
      <c r="A479" s="53" t="n">
        <v>45273</v>
      </c>
      <c r="B479" s="15" t="n">
        <v>1645</v>
      </c>
    </row>
    <row r="480">
      <c r="A480" s="53" t="n">
        <v>45274</v>
      </c>
      <c r="B480" s="15" t="n">
        <v>1705</v>
      </c>
    </row>
    <row r="481">
      <c r="A481" s="53" t="n">
        <v>45275</v>
      </c>
      <c r="B481" s="15" t="n">
        <v>1700</v>
      </c>
    </row>
    <row r="482">
      <c r="A482" s="53" t="n">
        <v>45278</v>
      </c>
      <c r="B482" s="15" t="n">
        <v>1695</v>
      </c>
    </row>
    <row r="483">
      <c r="A483" s="53" t="n">
        <v>45279</v>
      </c>
      <c r="B483" s="15" t="n">
        <v>1705</v>
      </c>
    </row>
    <row r="484">
      <c r="A484" s="53" t="n">
        <v>45280</v>
      </c>
      <c r="B484" s="15" t="n">
        <v>1755</v>
      </c>
    </row>
    <row r="485">
      <c r="A485" s="53" t="n">
        <v>45281</v>
      </c>
      <c r="B485" s="15" t="n">
        <v>1690</v>
      </c>
    </row>
    <row r="486">
      <c r="A486" s="53" t="n">
        <v>45282</v>
      </c>
      <c r="B486" s="15" t="n">
        <v>1695</v>
      </c>
    </row>
    <row r="487">
      <c r="A487" s="53" t="n">
        <v>45287</v>
      </c>
      <c r="B487" s="15" t="n">
        <v>1695</v>
      </c>
    </row>
    <row r="488">
      <c r="A488" s="53" t="n">
        <v>45288</v>
      </c>
      <c r="B488" s="15" t="n">
        <v>1740</v>
      </c>
    </row>
    <row r="489">
      <c r="A489" s="53" t="n">
        <v>45289</v>
      </c>
      <c r="B489" s="15" t="n">
        <v>1740</v>
      </c>
    </row>
    <row r="490">
      <c r="A490" s="53" t="n">
        <v>45293</v>
      </c>
      <c r="B490" s="15" t="n">
        <v>1740</v>
      </c>
    </row>
    <row r="491">
      <c r="A491" s="53" t="n">
        <v>45294</v>
      </c>
      <c r="B491" s="15" t="n">
        <v>1800</v>
      </c>
    </row>
    <row r="492">
      <c r="A492" s="53" t="n">
        <v>45295</v>
      </c>
      <c r="B492" s="15" t="n">
        <v>1895</v>
      </c>
    </row>
    <row r="493">
      <c r="A493" s="53" t="n">
        <v>45296</v>
      </c>
      <c r="B493" s="15" t="n">
        <v>1900</v>
      </c>
    </row>
    <row r="494">
      <c r="A494" s="53" t="n">
        <v>45299</v>
      </c>
      <c r="B494" s="15" t="n">
        <v>1925</v>
      </c>
    </row>
    <row r="495">
      <c r="A495" s="53" t="n">
        <v>45300</v>
      </c>
      <c r="B495" s="15" t="n">
        <v>1960</v>
      </c>
    </row>
    <row r="496">
      <c r="A496" s="53" t="n">
        <v>45301</v>
      </c>
      <c r="B496" s="15" t="n">
        <v>1935</v>
      </c>
    </row>
    <row r="497">
      <c r="A497" s="53" t="n">
        <v>45302</v>
      </c>
      <c r="B497" s="15" t="n">
        <v>1970</v>
      </c>
    </row>
    <row r="498">
      <c r="A498" s="53" t="n">
        <v>45303</v>
      </c>
      <c r="B498" s="15" t="n">
        <v>1980</v>
      </c>
    </row>
    <row r="499">
      <c r="A499" s="53" t="n">
        <v>45306</v>
      </c>
      <c r="B499" s="15" t="n">
        <v>1945</v>
      </c>
    </row>
    <row r="500">
      <c r="A500" s="53" t="n">
        <v>45307</v>
      </c>
      <c r="B500" s="15" t="n">
        <v>1930</v>
      </c>
    </row>
    <row r="501">
      <c r="A501" s="53" t="n">
        <v>45308</v>
      </c>
      <c r="B501" s="15" t="n">
        <v>1950</v>
      </c>
    </row>
    <row r="502">
      <c r="A502" s="53" t="n">
        <v>45309</v>
      </c>
      <c r="B502" s="15" t="n">
        <v>2010</v>
      </c>
    </row>
    <row r="503">
      <c r="A503" s="53" t="n">
        <v>45310</v>
      </c>
      <c r="B503" s="15" t="n">
        <v>2010</v>
      </c>
    </row>
    <row r="504">
      <c r="A504" s="53" t="n">
        <v>45313</v>
      </c>
      <c r="B504" s="15" t="n">
        <v>2090</v>
      </c>
    </row>
    <row r="505">
      <c r="A505" s="53" t="n">
        <v>45314</v>
      </c>
      <c r="B505" s="15" t="n">
        <v>2160</v>
      </c>
    </row>
    <row r="506">
      <c r="A506" s="53" t="n">
        <v>45315</v>
      </c>
      <c r="B506" s="15" t="n">
        <v>2070</v>
      </c>
    </row>
    <row r="507">
      <c r="A507" s="53" t="n">
        <v>45316</v>
      </c>
      <c r="B507" s="15" t="n">
        <v>2040</v>
      </c>
    </row>
    <row r="508">
      <c r="A508" s="53" t="n">
        <v>45317</v>
      </c>
      <c r="B508" s="15" t="n">
        <v>1995</v>
      </c>
    </row>
    <row r="509">
      <c r="A509" s="53" t="n">
        <v>45320</v>
      </c>
      <c r="B509" s="15" t="n">
        <v>2140</v>
      </c>
    </row>
    <row r="510">
      <c r="A510" s="53" t="n">
        <v>45321</v>
      </c>
      <c r="B510" s="15" t="n">
        <v>2180</v>
      </c>
    </row>
    <row r="511">
      <c r="A511" s="53" t="n">
        <v>45322</v>
      </c>
      <c r="B511" s="15" t="n">
        <v>2330</v>
      </c>
    </row>
    <row r="512">
      <c r="A512" s="53" t="n">
        <v>45323</v>
      </c>
      <c r="B512" s="15" t="n">
        <v>2300</v>
      </c>
    </row>
    <row r="513">
      <c r="A513" s="53" t="n">
        <v>45324</v>
      </c>
      <c r="B513" s="15" t="n">
        <v>2320</v>
      </c>
    </row>
    <row r="514">
      <c r="A514" s="53" t="n">
        <v>45327</v>
      </c>
      <c r="B514" s="15" t="n">
        <v>2310</v>
      </c>
    </row>
    <row r="515">
      <c r="A515" s="53" t="n">
        <v>45328</v>
      </c>
      <c r="B515" s="15" t="n">
        <v>2310</v>
      </c>
    </row>
    <row r="516">
      <c r="A516" s="53" t="n">
        <v>45329</v>
      </c>
      <c r="B516" s="15" t="n">
        <v>2360</v>
      </c>
    </row>
    <row r="517">
      <c r="A517" s="53" t="n">
        <v>45334</v>
      </c>
      <c r="B517" s="15" t="n">
        <v>2370</v>
      </c>
    </row>
    <row r="518">
      <c r="A518" s="53" t="n">
        <v>45335</v>
      </c>
      <c r="B518" s="15" t="n">
        <v>2350</v>
      </c>
    </row>
    <row r="519">
      <c r="A519" s="53" t="n">
        <v>45337</v>
      </c>
      <c r="B519" s="15" t="n">
        <v>2390</v>
      </c>
    </row>
    <row r="520">
      <c r="A520" s="53" t="n">
        <v>45338</v>
      </c>
      <c r="B520" s="15" t="n">
        <v>2330</v>
      </c>
    </row>
    <row r="521">
      <c r="A521" s="53" t="n">
        <v>45341</v>
      </c>
      <c r="B521" s="15" t="n">
        <v>2380</v>
      </c>
    </row>
    <row r="522">
      <c r="A522" s="53" t="n">
        <v>45342</v>
      </c>
      <c r="B522" s="15" t="n">
        <v>2480</v>
      </c>
    </row>
    <row r="523">
      <c r="A523" s="53" t="n">
        <v>45343</v>
      </c>
      <c r="B523" s="15" t="n">
        <v>2440</v>
      </c>
    </row>
    <row r="524">
      <c r="A524" s="53" t="n">
        <v>45344</v>
      </c>
      <c r="B524" s="15" t="n">
        <v>2460</v>
      </c>
    </row>
    <row r="525">
      <c r="A525" s="53" t="n">
        <v>45345</v>
      </c>
      <c r="B525" s="15" t="n">
        <v>2450</v>
      </c>
    </row>
    <row r="526">
      <c r="A526" s="53" t="n">
        <v>45348</v>
      </c>
      <c r="B526" s="15" t="n">
        <v>2430</v>
      </c>
    </row>
    <row r="527">
      <c r="A527" s="53" t="n">
        <v>45349</v>
      </c>
      <c r="B527" s="15" t="n">
        <v>2510</v>
      </c>
    </row>
    <row r="528">
      <c r="A528" s="53" t="n">
        <v>45350</v>
      </c>
      <c r="B528" s="15" t="n">
        <v>2480</v>
      </c>
    </row>
    <row r="529">
      <c r="A529" s="53" t="n">
        <v>45351</v>
      </c>
      <c r="B529" s="15" t="n">
        <v>2470</v>
      </c>
    </row>
    <row r="530">
      <c r="A530" s="53" t="n">
        <v>45352</v>
      </c>
      <c r="B530" s="15" t="n">
        <v>2420</v>
      </c>
    </row>
    <row r="531">
      <c r="A531" s="53" t="n">
        <v>45355</v>
      </c>
      <c r="B531" s="15" t="n">
        <v>2410</v>
      </c>
    </row>
    <row r="532">
      <c r="A532" s="53" t="n">
        <v>45356</v>
      </c>
      <c r="B532" s="15" t="n">
        <v>2430</v>
      </c>
    </row>
    <row r="533">
      <c r="A533" s="53" t="n">
        <v>45357</v>
      </c>
      <c r="B533" s="15" t="n">
        <v>2470</v>
      </c>
    </row>
    <row r="534">
      <c r="A534" s="53" t="n">
        <v>45358</v>
      </c>
      <c r="B534" s="15" t="n">
        <v>2480</v>
      </c>
    </row>
    <row r="535">
      <c r="A535" s="53" t="n">
        <v>45359</v>
      </c>
      <c r="B535" s="15" t="n">
        <v>2600</v>
      </c>
    </row>
    <row r="536">
      <c r="A536" s="53" t="n">
        <v>45364</v>
      </c>
      <c r="B536" s="15" t="n">
        <v>2850</v>
      </c>
    </row>
    <row r="537">
      <c r="A537" s="53" t="n">
        <v>45365</v>
      </c>
      <c r="B537" s="15" t="n">
        <v>2710</v>
      </c>
    </row>
    <row r="538">
      <c r="A538" s="53" t="n">
        <v>45366</v>
      </c>
      <c r="B538" s="15" t="n">
        <v>2670</v>
      </c>
    </row>
    <row r="539">
      <c r="A539" s="53" t="n">
        <v>45369</v>
      </c>
      <c r="B539" s="15" t="n">
        <v>2640</v>
      </c>
    </row>
    <row r="540">
      <c r="A540" s="53" t="n">
        <v>45370</v>
      </c>
      <c r="B540" s="15" t="n">
        <v>2660</v>
      </c>
    </row>
    <row r="541">
      <c r="A541" s="53" t="n">
        <v>45371</v>
      </c>
      <c r="B541" s="15" t="n">
        <v>2660</v>
      </c>
    </row>
    <row r="542">
      <c r="A542" s="53" t="n">
        <v>45372</v>
      </c>
      <c r="B542" s="15" t="n">
        <v>2680</v>
      </c>
    </row>
    <row r="543">
      <c r="A543" s="53" t="n">
        <v>45373</v>
      </c>
      <c r="B543" s="15" t="n">
        <v>2630</v>
      </c>
    </row>
    <row r="544">
      <c r="A544" s="53" t="n">
        <v>45376</v>
      </c>
      <c r="B544" s="15" t="n">
        <v>2660</v>
      </c>
    </row>
    <row r="545">
      <c r="A545" s="53" t="n">
        <v>45377</v>
      </c>
      <c r="B545" s="15" t="n">
        <v>2680</v>
      </c>
    </row>
    <row r="546">
      <c r="A546" s="53" t="n">
        <v>45378</v>
      </c>
      <c r="B546" s="15" t="n">
        <v>2720</v>
      </c>
    </row>
    <row r="547">
      <c r="A547" s="53" t="n">
        <v>45379</v>
      </c>
      <c r="B547" s="15" t="n">
        <v>2710</v>
      </c>
    </row>
    <row r="548">
      <c r="A548" s="53" t="n">
        <v>45383</v>
      </c>
      <c r="B548" s="15" t="n">
        <v>2550</v>
      </c>
    </row>
    <row r="549">
      <c r="A549" s="53" t="n">
        <v>45384</v>
      </c>
      <c r="B549" s="15" t="n">
        <v>2690</v>
      </c>
    </row>
    <row r="550">
      <c r="A550" s="53" t="n">
        <v>45385</v>
      </c>
      <c r="B550" s="15" t="n">
        <v>2640</v>
      </c>
    </row>
    <row r="551">
      <c r="A551" s="53" t="n">
        <v>45386</v>
      </c>
      <c r="B551" s="15" t="n">
        <v>2730</v>
      </c>
    </row>
    <row r="552">
      <c r="A552" s="53" t="n">
        <v>45387</v>
      </c>
      <c r="B552" s="15" t="n">
        <v>2700</v>
      </c>
    </row>
    <row r="553">
      <c r="A553" s="53" t="n">
        <v>45398</v>
      </c>
      <c r="B553" s="15" t="n">
        <v>2550</v>
      </c>
    </row>
    <row r="554">
      <c r="A554" s="53" t="n">
        <v>45399</v>
      </c>
      <c r="B554" s="15" t="n">
        <v>2480</v>
      </c>
    </row>
    <row r="555">
      <c r="A555" s="53" t="n">
        <v>45400</v>
      </c>
      <c r="B555" s="15" t="n">
        <v>2600</v>
      </c>
    </row>
    <row r="556">
      <c r="A556" s="53" t="n">
        <v>45401</v>
      </c>
      <c r="B556" s="15" t="n">
        <v>2540</v>
      </c>
    </row>
    <row r="557">
      <c r="A557" s="53" t="n">
        <v>45404</v>
      </c>
      <c r="B557" s="15" t="n">
        <v>2540</v>
      </c>
    </row>
    <row r="558">
      <c r="A558" s="53" t="n">
        <v>45405</v>
      </c>
      <c r="B558" s="15" t="n">
        <v>2600</v>
      </c>
    </row>
    <row r="559">
      <c r="A559" s="53" t="n">
        <v>45406</v>
      </c>
      <c r="B559" s="15" t="n">
        <v>2640</v>
      </c>
    </row>
    <row r="560">
      <c r="A560" s="53" t="n">
        <v>45407</v>
      </c>
      <c r="B560" s="15" t="n">
        <v>2580</v>
      </c>
    </row>
    <row r="561">
      <c r="A561" s="53" t="n">
        <v>45408</v>
      </c>
      <c r="B561" s="15" t="n">
        <v>2470</v>
      </c>
    </row>
    <row r="562">
      <c r="A562" s="53" t="n">
        <v>45411</v>
      </c>
      <c r="B562" s="15" t="n">
        <v>2510</v>
      </c>
    </row>
    <row r="563">
      <c r="A563" s="53" t="n">
        <v>45412</v>
      </c>
      <c r="B563" s="15" t="n">
        <v>2640</v>
      </c>
    </row>
    <row r="564">
      <c r="A564" s="53" t="n">
        <v>45414</v>
      </c>
      <c r="B564" s="15" t="n">
        <v>2540</v>
      </c>
    </row>
    <row r="565">
      <c r="A565" s="53" t="n">
        <v>45415</v>
      </c>
      <c r="B565" s="15" t="n">
        <v>2630</v>
      </c>
    </row>
    <row r="566">
      <c r="A566" s="53" t="n">
        <v>45418</v>
      </c>
      <c r="B566" s="15" t="n">
        <v>2790</v>
      </c>
    </row>
    <row r="567">
      <c r="A567" s="53" t="n">
        <v>45419</v>
      </c>
      <c r="B567" s="15" t="n">
        <v>2700</v>
      </c>
    </row>
    <row r="568">
      <c r="A568" s="53" t="n">
        <v>45420</v>
      </c>
      <c r="B568" s="15" t="n">
        <v>2540</v>
      </c>
    </row>
    <row r="569">
      <c r="A569" s="53" t="n">
        <v>45425</v>
      </c>
      <c r="B569" s="15" t="n">
        <v>2300</v>
      </c>
    </row>
    <row r="570">
      <c r="A570" s="53" t="n">
        <v>45426</v>
      </c>
      <c r="B570" s="15" t="n">
        <v>2350</v>
      </c>
    </row>
    <row r="571">
      <c r="A571" s="53" t="n">
        <v>45427</v>
      </c>
      <c r="B571" s="15" t="n">
        <v>2540</v>
      </c>
    </row>
    <row r="572">
      <c r="A572" s="53" t="n">
        <v>45428</v>
      </c>
      <c r="B572" s="15" t="n">
        <v>2540</v>
      </c>
    </row>
    <row r="573">
      <c r="A573" s="53" t="n">
        <v>45429</v>
      </c>
      <c r="B573" s="15" t="n">
        <v>2520</v>
      </c>
    </row>
    <row r="574">
      <c r="A574" s="53" t="n">
        <v>45432</v>
      </c>
      <c r="B574" s="15" t="n">
        <v>2470</v>
      </c>
    </row>
    <row r="575">
      <c r="A575" s="53" t="n">
        <v>45433</v>
      </c>
      <c r="B575" s="15" t="n">
        <v>2360</v>
      </c>
    </row>
    <row r="576">
      <c r="A576" s="53" t="n">
        <v>45434</v>
      </c>
      <c r="B576" s="15" t="n">
        <v>2330</v>
      </c>
    </row>
    <row r="577">
      <c r="A577" s="53" t="n">
        <v>45439</v>
      </c>
      <c r="B577" s="15" t="n">
        <v>2270</v>
      </c>
    </row>
    <row r="578">
      <c r="A578" s="53" t="n">
        <v>45440</v>
      </c>
      <c r="B578" s="15" t="n">
        <v>2290</v>
      </c>
    </row>
    <row r="579">
      <c r="A579" s="53" t="n">
        <v>45441</v>
      </c>
      <c r="B579" s="15" t="n">
        <v>2200</v>
      </c>
    </row>
    <row r="580">
      <c r="A580" s="53" t="n">
        <v>45442</v>
      </c>
      <c r="B580" s="15" t="n">
        <v>2160</v>
      </c>
    </row>
    <row r="581">
      <c r="A581" s="53" t="n">
        <v>45443</v>
      </c>
      <c r="B581" s="15" t="n">
        <v>2200</v>
      </c>
    </row>
    <row r="582">
      <c r="A582" s="53" t="n">
        <v>45446</v>
      </c>
      <c r="B582" s="15" t="n">
        <v>2230</v>
      </c>
    </row>
    <row r="583">
      <c r="A583" s="53" t="n">
        <v>45447</v>
      </c>
      <c r="B583" s="15" t="n">
        <v>2280</v>
      </c>
    </row>
    <row r="584">
      <c r="A584" s="53" t="n">
        <v>45448</v>
      </c>
      <c r="B584" s="15" t="n">
        <v>2260</v>
      </c>
    </row>
    <row r="585">
      <c r="A585" s="53" t="n">
        <v>45449</v>
      </c>
      <c r="B585" s="15" t="n">
        <v>2190</v>
      </c>
    </row>
    <row r="586">
      <c r="A586" s="53" t="n">
        <v>45450</v>
      </c>
      <c r="B586" s="15" t="n">
        <v>2180</v>
      </c>
    </row>
    <row r="587">
      <c r="A587" s="53" t="n">
        <v>45453</v>
      </c>
      <c r="B587" s="15" t="n">
        <v>2130</v>
      </c>
    </row>
    <row r="588">
      <c r="A588" s="53" t="n">
        <v>45454</v>
      </c>
      <c r="B588" s="15" t="n">
        <v>2170</v>
      </c>
    </row>
    <row r="589">
      <c r="A589" s="53" t="n">
        <v>45455</v>
      </c>
      <c r="B589" s="15" t="n">
        <v>2150</v>
      </c>
    </row>
    <row r="590">
      <c r="A590" s="53" t="n">
        <v>45456</v>
      </c>
      <c r="B590" s="15" t="n">
        <v>2280</v>
      </c>
    </row>
    <row r="591">
      <c r="A591" s="53" t="n">
        <v>45457</v>
      </c>
      <c r="B591" s="15" t="n">
        <v>2280</v>
      </c>
    </row>
    <row r="592">
      <c r="A592" s="53" t="n">
        <v>45462</v>
      </c>
      <c r="B592" s="15" t="n">
        <v>2410</v>
      </c>
    </row>
    <row r="593">
      <c r="A593" s="53" t="n">
        <v>45463</v>
      </c>
      <c r="B593" s="15" t="n">
        <v>2440</v>
      </c>
    </row>
    <row r="594">
      <c r="A594" s="53" t="n">
        <v>45464</v>
      </c>
      <c r="B594" s="15" t="n">
        <v>2420</v>
      </c>
    </row>
    <row r="595">
      <c r="A595" s="53" t="n">
        <v>45467</v>
      </c>
      <c r="B595" s="15" t="n">
        <v>2510</v>
      </c>
    </row>
    <row r="596">
      <c r="A596" s="53" t="n">
        <v>45468</v>
      </c>
      <c r="B596" s="15" t="n">
        <v>2500</v>
      </c>
    </row>
    <row r="597">
      <c r="A597" s="53" t="n">
        <v>45469</v>
      </c>
      <c r="B597" s="15" t="n">
        <v>2550</v>
      </c>
    </row>
    <row r="598">
      <c r="A598" s="53" t="n">
        <v>45470</v>
      </c>
      <c r="B598" s="15" t="n">
        <v>2540</v>
      </c>
    </row>
    <row r="599">
      <c r="A599" s="53" t="n">
        <v>45471</v>
      </c>
      <c r="B599" s="15" t="n">
        <v>2620</v>
      </c>
    </row>
    <row r="600">
      <c r="A600" s="53" t="n">
        <v>45474</v>
      </c>
      <c r="B600" s="15" t="n">
        <v>2610</v>
      </c>
    </row>
    <row r="601">
      <c r="A601" s="53" t="n">
        <v>45475</v>
      </c>
      <c r="B601" s="15" t="n">
        <v>2560</v>
      </c>
    </row>
    <row r="602">
      <c r="A602" s="53" t="n">
        <v>45476</v>
      </c>
      <c r="B602" s="15" t="n">
        <v>2500</v>
      </c>
    </row>
    <row r="603">
      <c r="A603" s="53" t="n">
        <v>45477</v>
      </c>
      <c r="B603" s="15" t="n">
        <v>2490</v>
      </c>
    </row>
    <row r="604">
      <c r="A604" s="53" t="n">
        <v>45478</v>
      </c>
      <c r="B604" s="15" t="n">
        <v>2490</v>
      </c>
    </row>
    <row r="605">
      <c r="A605" s="53" t="n">
        <v>45481</v>
      </c>
      <c r="B605" s="15" t="n">
        <v>2450</v>
      </c>
    </row>
    <row r="606">
      <c r="A606" s="53" t="n">
        <v>45482</v>
      </c>
      <c r="B606" s="15" t="n">
        <v>2520</v>
      </c>
    </row>
    <row r="607">
      <c r="A607" s="53" t="n">
        <v>45483</v>
      </c>
      <c r="B607" s="15" t="n">
        <v>2470</v>
      </c>
    </row>
    <row r="608">
      <c r="A608" s="53" t="n">
        <v>45484</v>
      </c>
      <c r="B608" s="15" t="n">
        <v>2510</v>
      </c>
    </row>
    <row r="609">
      <c r="A609" s="53" t="n">
        <v>45485</v>
      </c>
      <c r="B609" s="15" t="n">
        <v>2510</v>
      </c>
    </row>
    <row r="610">
      <c r="A610" s="53" t="n">
        <v>45488</v>
      </c>
      <c r="B610" s="15" t="n">
        <v>2480</v>
      </c>
    </row>
    <row r="611">
      <c r="A611" s="53" t="n">
        <v>45489</v>
      </c>
      <c r="B611" s="15" t="n">
        <v>2460</v>
      </c>
    </row>
    <row r="612">
      <c r="A612" s="53" t="n">
        <v>45490</v>
      </c>
      <c r="B612" s="15" t="n">
        <v>2480</v>
      </c>
    </row>
    <row r="613">
      <c r="A613" s="53" t="n">
        <v>45491</v>
      </c>
      <c r="B613" s="15" t="n">
        <v>2490</v>
      </c>
    </row>
    <row r="614">
      <c r="A614" s="53" t="n">
        <v>45492</v>
      </c>
      <c r="B614" s="15" t="n">
        <v>2450</v>
      </c>
    </row>
    <row r="615">
      <c r="A615" s="53" t="n">
        <v>45495</v>
      </c>
      <c r="B615" s="15" t="n">
        <v>2560</v>
      </c>
    </row>
    <row r="616">
      <c r="A616" s="53" t="n">
        <v>45496</v>
      </c>
      <c r="B616" s="15" t="n">
        <v>2530</v>
      </c>
    </row>
    <row r="617">
      <c r="A617" s="53" t="n">
        <v>45497</v>
      </c>
      <c r="B617" s="15" t="n">
        <v>2500</v>
      </c>
    </row>
    <row r="618">
      <c r="A618" s="53" t="n">
        <v>45498</v>
      </c>
      <c r="B618" s="15" t="n">
        <v>2420</v>
      </c>
    </row>
    <row r="619">
      <c r="A619" s="53" t="n">
        <v>45499</v>
      </c>
      <c r="B619" s="15" t="n">
        <v>2460</v>
      </c>
    </row>
    <row r="620">
      <c r="A620" s="53" t="n">
        <v>45502</v>
      </c>
      <c r="B620" s="15" t="n">
        <v>2480</v>
      </c>
    </row>
    <row r="621">
      <c r="A621" s="53" t="n">
        <v>45503</v>
      </c>
      <c r="B621" s="15" t="n">
        <v>2480</v>
      </c>
    </row>
    <row r="622">
      <c r="A622" s="53" t="n">
        <v>45504</v>
      </c>
      <c r="B622" s="15" t="n">
        <v>2600</v>
      </c>
    </row>
    <row r="623">
      <c r="A623" s="53" t="n">
        <v>45505</v>
      </c>
      <c r="B623" s="15" t="n">
        <v>2580</v>
      </c>
    </row>
    <row r="624">
      <c r="A624" s="53" t="n">
        <v>45506</v>
      </c>
      <c r="B624" s="15" t="n">
        <v>2550</v>
      </c>
    </row>
    <row r="625">
      <c r="A625" s="53" t="n">
        <v>45509</v>
      </c>
      <c r="B625" s="15" t="n">
        <v>2420</v>
      </c>
    </row>
    <row r="626">
      <c r="A626" s="53" t="n">
        <v>45510</v>
      </c>
      <c r="B626" s="15" t="n">
        <v>2500</v>
      </c>
    </row>
    <row r="627">
      <c r="A627" s="53" t="n">
        <v>45511</v>
      </c>
      <c r="B627" s="15" t="n">
        <v>2520</v>
      </c>
    </row>
    <row r="628">
      <c r="A628" s="53" t="n">
        <v>45512</v>
      </c>
      <c r="B628" s="15" t="n">
        <v>2520</v>
      </c>
    </row>
    <row r="629">
      <c r="A629" s="53" t="n">
        <v>45513</v>
      </c>
      <c r="B629" s="15" t="n">
        <v>2590</v>
      </c>
    </row>
    <row r="630">
      <c r="A630" s="53" t="n">
        <v>45516</v>
      </c>
      <c r="B630" s="15" t="n">
        <v>2600</v>
      </c>
    </row>
    <row r="631">
      <c r="A631" s="53" t="n">
        <v>45517</v>
      </c>
      <c r="B631" s="15" t="n">
        <v>2670</v>
      </c>
    </row>
    <row r="632">
      <c r="A632" s="53" t="n">
        <v>45518</v>
      </c>
      <c r="B632" s="15" t="n">
        <v>2660</v>
      </c>
    </row>
    <row r="633">
      <c r="A633" s="53" t="n">
        <v>45519</v>
      </c>
      <c r="B633" s="15" t="n">
        <v>2660</v>
      </c>
    </row>
    <row r="634">
      <c r="A634" s="53" t="n">
        <v>45520</v>
      </c>
      <c r="B634" s="15" t="n">
        <v>2620</v>
      </c>
    </row>
    <row r="635">
      <c r="A635" s="53" t="n">
        <v>45523</v>
      </c>
      <c r="B635" s="15" t="n">
        <v>2610</v>
      </c>
    </row>
    <row r="636">
      <c r="A636" s="53" t="n">
        <v>45524</v>
      </c>
      <c r="B636" s="15" t="n">
        <v>2640</v>
      </c>
    </row>
    <row r="637">
      <c r="A637" s="53" t="n">
        <v>45525</v>
      </c>
      <c r="B637" s="15" t="n">
        <v>2680</v>
      </c>
    </row>
    <row r="638">
      <c r="A638" s="53" t="n">
        <v>45526</v>
      </c>
      <c r="B638" s="15" t="n">
        <v>2620</v>
      </c>
    </row>
    <row r="639">
      <c r="A639" s="53" t="n">
        <v>45527</v>
      </c>
      <c r="B639" s="15" t="n">
        <v>2700</v>
      </c>
    </row>
    <row r="640">
      <c r="A640" s="53" t="n">
        <v>45530</v>
      </c>
      <c r="B640" s="15" t="n">
        <v>2730</v>
      </c>
    </row>
    <row r="641">
      <c r="A641" s="53" t="n">
        <v>45531</v>
      </c>
      <c r="B641" s="15" t="n">
        <v>2740</v>
      </c>
    </row>
    <row r="642">
      <c r="A642" s="53" t="n">
        <v>45532</v>
      </c>
      <c r="B642" s="15" t="n">
        <v>2730</v>
      </c>
    </row>
    <row r="643">
      <c r="A643" s="53" t="n">
        <v>45533</v>
      </c>
      <c r="B643" s="15" t="n">
        <v>2680</v>
      </c>
    </row>
    <row r="644">
      <c r="A644" s="53" t="n">
        <v>45534</v>
      </c>
      <c r="B644" s="15" t="n">
        <v>2650</v>
      </c>
    </row>
    <row r="645">
      <c r="A645" s="53" t="n">
        <v>45537</v>
      </c>
      <c r="B645" s="15" t="n">
        <v>2610</v>
      </c>
    </row>
    <row r="646">
      <c r="A646" s="53" t="n">
        <v>45538</v>
      </c>
      <c r="B646" s="15" t="n">
        <v>2590</v>
      </c>
    </row>
    <row r="647">
      <c r="A647" s="53" t="n">
        <v>45539</v>
      </c>
      <c r="B647" s="15" t="n">
        <v>2570</v>
      </c>
    </row>
    <row r="648">
      <c r="A648" s="53" t="n">
        <v>45540</v>
      </c>
      <c r="B648" s="15" t="n">
        <v>2650</v>
      </c>
    </row>
    <row r="649">
      <c r="A649" s="53" t="n">
        <v>45541</v>
      </c>
      <c r="B649" s="15" t="n">
        <v>2630</v>
      </c>
    </row>
    <row r="650">
      <c r="A650" s="53" t="n">
        <v>45544</v>
      </c>
      <c r="B650" s="15" t="n">
        <v>2620</v>
      </c>
    </row>
    <row r="651">
      <c r="A651" s="53" t="n">
        <v>45545</v>
      </c>
      <c r="B651" s="15" t="n">
        <v>2650</v>
      </c>
    </row>
    <row r="652">
      <c r="A652" s="53" t="n">
        <v>45546</v>
      </c>
      <c r="B652" s="15" t="n">
        <v>2750</v>
      </c>
    </row>
    <row r="653">
      <c r="A653" s="53" t="n">
        <v>45547</v>
      </c>
      <c r="B653" s="15" t="n">
        <v>2880</v>
      </c>
    </row>
    <row r="654">
      <c r="A654" s="53" t="n">
        <v>45548</v>
      </c>
      <c r="B654" s="15" t="n">
        <v>2860</v>
      </c>
    </row>
    <row r="655">
      <c r="A655" s="53" t="n">
        <v>45552</v>
      </c>
      <c r="B655" s="15" t="n">
        <v>3100</v>
      </c>
    </row>
    <row r="656">
      <c r="A656" s="53" t="n">
        <v>45553</v>
      </c>
      <c r="B656" s="15" t="n">
        <v>3140</v>
      </c>
    </row>
    <row r="657">
      <c r="A657" s="53" t="n">
        <v>45554</v>
      </c>
      <c r="B657" s="15" t="n">
        <v>3160</v>
      </c>
    </row>
    <row r="658">
      <c r="A658" s="53" t="n">
        <v>45555</v>
      </c>
      <c r="B658" s="15" t="n">
        <v>3030</v>
      </c>
    </row>
    <row r="659">
      <c r="A659" s="53" t="n">
        <v>45558</v>
      </c>
      <c r="B659" s="15" t="n">
        <v>3150</v>
      </c>
    </row>
    <row r="660">
      <c r="A660" s="53" t="n">
        <v>45559</v>
      </c>
      <c r="B660" s="15" t="n">
        <v>3110</v>
      </c>
    </row>
    <row r="661">
      <c r="A661" s="53" t="n">
        <v>45560</v>
      </c>
      <c r="B661" s="15" t="n">
        <v>3070</v>
      </c>
    </row>
    <row r="662">
      <c r="A662" s="53" t="n">
        <v>45561</v>
      </c>
      <c r="B662" s="15" t="n">
        <v>3100</v>
      </c>
    </row>
    <row r="663">
      <c r="A663" s="53" t="n">
        <v>45562</v>
      </c>
      <c r="B663" s="15" t="n">
        <v>3060</v>
      </c>
    </row>
    <row r="664">
      <c r="A664" s="53" t="n">
        <v>45565</v>
      </c>
      <c r="B664" s="15" t="n">
        <v>3010</v>
      </c>
    </row>
    <row r="665">
      <c r="A665" s="53" t="n">
        <v>45566</v>
      </c>
      <c r="B665" s="15" t="n">
        <v>3000</v>
      </c>
    </row>
    <row r="666">
      <c r="A666" s="53" t="n">
        <v>45567</v>
      </c>
      <c r="B666" s="15" t="n">
        <v>2940</v>
      </c>
    </row>
    <row r="667">
      <c r="A667" s="53" t="n">
        <v>45568</v>
      </c>
      <c r="B667" s="15" t="n">
        <v>2970</v>
      </c>
    </row>
    <row r="668">
      <c r="A668" s="53" t="n">
        <v>45569</v>
      </c>
      <c r="B668" s="15" t="n">
        <v>2910</v>
      </c>
    </row>
    <row r="669">
      <c r="A669" s="53" t="n">
        <v>45572</v>
      </c>
      <c r="B669" s="15" t="n">
        <v>2910</v>
      </c>
    </row>
    <row r="670">
      <c r="A670" s="53" t="n">
        <v>45573</v>
      </c>
      <c r="B670" s="15" t="n">
        <v>3050</v>
      </c>
    </row>
    <row r="671">
      <c r="A671" s="53" t="n">
        <v>45574</v>
      </c>
      <c r="B671" s="15" t="n">
        <v>3000</v>
      </c>
    </row>
    <row r="672">
      <c r="A672" s="53" t="n">
        <v>45575</v>
      </c>
      <c r="B672" s="15" t="n">
        <v>3030</v>
      </c>
    </row>
    <row r="673">
      <c r="A673" s="53" t="n">
        <v>45576</v>
      </c>
      <c r="B673" s="15" t="n">
        <v>3000</v>
      </c>
    </row>
    <row r="674">
      <c r="A674" s="53" t="n">
        <v>45579</v>
      </c>
      <c r="B674" s="15" t="n">
        <v>3000</v>
      </c>
    </row>
    <row r="675">
      <c r="A675" s="53" t="n">
        <v>45580</v>
      </c>
      <c r="B675" s="15" t="n">
        <v>3020</v>
      </c>
    </row>
    <row r="676">
      <c r="A676" s="53" t="n">
        <v>45581</v>
      </c>
      <c r="B676" s="15" t="n">
        <v>3020</v>
      </c>
    </row>
    <row r="677">
      <c r="A677" s="53" t="n">
        <v>45582</v>
      </c>
      <c r="B677" s="15" t="n">
        <v>3110</v>
      </c>
    </row>
    <row r="678">
      <c r="A678" s="53" t="n">
        <v>45583</v>
      </c>
      <c r="B678" s="15" t="n">
        <v>3100</v>
      </c>
    </row>
    <row r="679">
      <c r="A679" s="53" t="n">
        <v>45586</v>
      </c>
      <c r="B679" s="15" t="n">
        <v>3080</v>
      </c>
    </row>
    <row r="680">
      <c r="A680" s="53" t="n">
        <v>45587</v>
      </c>
      <c r="B680" s="15" t="n">
        <v>3000</v>
      </c>
    </row>
    <row r="681">
      <c r="A681" s="53" t="n">
        <v>45588</v>
      </c>
      <c r="B681" s="15" t="n">
        <v>3020</v>
      </c>
    </row>
    <row r="682">
      <c r="A682" s="53" t="n">
        <v>45589</v>
      </c>
      <c r="B682" s="15" t="n">
        <v>3090</v>
      </c>
    </row>
    <row r="683">
      <c r="A683" s="53" t="n">
        <v>45590</v>
      </c>
      <c r="B683" s="15" t="n">
        <v>3010</v>
      </c>
    </row>
    <row r="684">
      <c r="A684" s="53" t="n">
        <v>45593</v>
      </c>
      <c r="B684" s="15" t="n">
        <v>3010</v>
      </c>
    </row>
    <row r="685">
      <c r="A685" s="53" t="n">
        <v>45594</v>
      </c>
      <c r="B685" s="15" t="n">
        <v>2950</v>
      </c>
    </row>
    <row r="686">
      <c r="A686" s="53" t="n">
        <v>45595</v>
      </c>
      <c r="B686" s="15" t="n">
        <v>2960</v>
      </c>
    </row>
    <row r="687">
      <c r="A687" s="53" t="n">
        <v>45596</v>
      </c>
      <c r="B687" s="15" t="n">
        <v>3030</v>
      </c>
    </row>
    <row r="688">
      <c r="A688" s="53" t="n">
        <v>45597</v>
      </c>
      <c r="B688" s="15" t="n">
        <v>2950</v>
      </c>
    </row>
    <row r="689">
      <c r="A689" s="53" t="n">
        <v>45600</v>
      </c>
      <c r="B689" s="15" t="n">
        <v>2940</v>
      </c>
    </row>
    <row r="690">
      <c r="A690" s="53" t="n">
        <v>45601</v>
      </c>
      <c r="B690" s="15" t="n">
        <v>2970</v>
      </c>
    </row>
    <row r="691">
      <c r="A691" s="53" t="n">
        <v>45602</v>
      </c>
      <c r="B691" s="15" t="n">
        <v>2900</v>
      </c>
    </row>
    <row r="692">
      <c r="A692" s="53" t="n">
        <v>45603</v>
      </c>
      <c r="B692" s="15" t="n">
        <v>2850</v>
      </c>
    </row>
    <row r="693">
      <c r="A693" s="53" t="n">
        <v>45604</v>
      </c>
      <c r="B693" s="15" t="n">
        <v>2860</v>
      </c>
    </row>
    <row r="694">
      <c r="A694" s="53" t="n">
        <v>45607</v>
      </c>
      <c r="B694" s="15" t="n">
        <v>2820</v>
      </c>
    </row>
    <row r="695">
      <c r="A695" s="53" t="n">
        <v>45608</v>
      </c>
      <c r="B695" s="15" t="n">
        <v>2880</v>
      </c>
    </row>
    <row r="696">
      <c r="A696" s="53" t="n">
        <v>45609</v>
      </c>
      <c r="B696" s="15" t="n">
        <v>2890</v>
      </c>
    </row>
    <row r="697">
      <c r="A697" s="53" t="n">
        <v>45610</v>
      </c>
      <c r="B697" s="15" t="n">
        <v>2850</v>
      </c>
    </row>
    <row r="698">
      <c r="A698" s="53" t="n">
        <v>45611</v>
      </c>
      <c r="B698" s="15" t="n">
        <v>2850</v>
      </c>
    </row>
    <row r="699">
      <c r="A699" s="53" t="n">
        <v>45614</v>
      </c>
      <c r="B699" s="15" t="n">
        <v>2850</v>
      </c>
    </row>
    <row r="700">
      <c r="A700" s="53" t="n">
        <v>45615</v>
      </c>
      <c r="B700" s="15" t="n">
        <v>2780</v>
      </c>
    </row>
    <row r="701">
      <c r="A701" s="53" t="n">
        <v>45616</v>
      </c>
      <c r="B701" s="15" t="n">
        <v>2770</v>
      </c>
    </row>
    <row r="702">
      <c r="A702" s="53" t="n">
        <v>45617</v>
      </c>
      <c r="B702" s="15" t="n">
        <v>2690</v>
      </c>
    </row>
    <row r="703">
      <c r="A703" s="53" t="n">
        <v>45618</v>
      </c>
      <c r="B703" s="15" t="n">
        <v>2950</v>
      </c>
    </row>
    <row r="704">
      <c r="A704" s="53" t="n">
        <v>45621</v>
      </c>
      <c r="B704" s="15" t="n">
        <v>2950</v>
      </c>
    </row>
    <row r="705">
      <c r="A705" s="53" t="n">
        <v>45622</v>
      </c>
      <c r="B705" s="15" t="n">
        <v>2920</v>
      </c>
    </row>
    <row r="706">
      <c r="A706" s="53" t="n">
        <v>45624</v>
      </c>
      <c r="B706" s="15" t="n">
        <v>2910</v>
      </c>
    </row>
    <row r="707">
      <c r="A707" s="53" t="n">
        <v>45625</v>
      </c>
      <c r="B707" s="15" t="n">
        <v>2900</v>
      </c>
    </row>
    <row r="708">
      <c r="A708" s="53" t="n">
        <v>45628</v>
      </c>
      <c r="B708" s="15" t="n">
        <v>2840</v>
      </c>
    </row>
    <row r="709">
      <c r="A709" s="53" t="n">
        <v>45629</v>
      </c>
      <c r="B709" s="15" t="n">
        <v>2940</v>
      </c>
    </row>
    <row r="710">
      <c r="A710" s="53" t="n">
        <v>45630</v>
      </c>
      <c r="B710" s="15" t="n">
        <v>3000</v>
      </c>
    </row>
    <row r="711">
      <c r="A711" s="53" t="n">
        <v>45631</v>
      </c>
      <c r="B711" s="15" t="n">
        <v>2970</v>
      </c>
    </row>
    <row r="712">
      <c r="A712" s="53" t="n">
        <v>45632</v>
      </c>
      <c r="B712" s="15" t="n">
        <v>2980</v>
      </c>
    </row>
    <row r="713">
      <c r="A713" s="53" t="n">
        <v>45635</v>
      </c>
      <c r="B713" s="15" t="n">
        <v>3010</v>
      </c>
    </row>
    <row r="714">
      <c r="A714" s="53" t="n">
        <v>45636</v>
      </c>
      <c r="B714" s="15" t="n">
        <v>2970</v>
      </c>
    </row>
    <row r="715">
      <c r="A715" s="53" t="n">
        <v>45637</v>
      </c>
      <c r="B715" s="15" t="n">
        <v>2970</v>
      </c>
    </row>
    <row r="716">
      <c r="A716" s="53" t="n">
        <v>45638</v>
      </c>
      <c r="B716" s="15" t="n">
        <v>2900</v>
      </c>
    </row>
    <row r="717">
      <c r="A717" s="53" t="n">
        <v>45639</v>
      </c>
      <c r="B717" s="15" t="n">
        <v>2900</v>
      </c>
    </row>
    <row r="718">
      <c r="A718" s="53" t="n">
        <v>45642</v>
      </c>
      <c r="B718" s="15" t="n">
        <v>2850</v>
      </c>
    </row>
    <row r="719">
      <c r="A719" s="53" t="n">
        <v>45643</v>
      </c>
      <c r="B719" s="15" t="n">
        <v>2760</v>
      </c>
    </row>
    <row r="720">
      <c r="A720" s="53" t="n">
        <v>45644</v>
      </c>
      <c r="B720" s="15" t="n">
        <v>2680</v>
      </c>
    </row>
    <row r="721">
      <c r="A721" s="53" t="n">
        <v>45645</v>
      </c>
      <c r="B721" s="15" t="n">
        <v>2640</v>
      </c>
    </row>
    <row r="722">
      <c r="A722" s="53" t="n">
        <v>45646</v>
      </c>
      <c r="B722" s="15" t="n">
        <v>2750</v>
      </c>
    </row>
    <row r="723">
      <c r="A723" s="53" t="n">
        <v>45649</v>
      </c>
      <c r="B723" s="15" t="n">
        <v>2800</v>
      </c>
    </row>
    <row r="724">
      <c r="A724" s="53" t="n">
        <v>45650</v>
      </c>
      <c r="B724" s="15" t="n">
        <v>2750</v>
      </c>
    </row>
    <row r="725">
      <c r="A725" s="53" t="n">
        <v>45653</v>
      </c>
      <c r="B725" s="15" t="n">
        <v>2770</v>
      </c>
    </row>
    <row r="726">
      <c r="A726" s="53" t="n">
        <v>45656</v>
      </c>
      <c r="B726" s="15" t="n">
        <v>2730</v>
      </c>
    </row>
    <row r="727">
      <c r="A727" s="53" t="n">
        <v>45659</v>
      </c>
      <c r="B727" s="15" t="n">
        <v>2780</v>
      </c>
    </row>
    <row r="728">
      <c r="A728" s="53" t="n">
        <v>45660</v>
      </c>
      <c r="B728" s="15" t="n">
        <v>2740</v>
      </c>
    </row>
    <row r="729">
      <c r="A729" s="53" t="n">
        <v>45663</v>
      </c>
      <c r="B729" s="15" t="n">
        <v>2710</v>
      </c>
    </row>
    <row r="730">
      <c r="A730" s="53" t="n">
        <v>45664</v>
      </c>
      <c r="B730" s="15" t="n">
        <v>2690</v>
      </c>
    </row>
    <row r="731">
      <c r="A731" s="53" t="n">
        <v>45665</v>
      </c>
      <c r="B731" s="15" t="n">
        <v>2650</v>
      </c>
    </row>
    <row r="732">
      <c r="A732" s="53" t="n">
        <v>45666</v>
      </c>
      <c r="B732" s="15" t="n">
        <v>2700</v>
      </c>
    </row>
    <row r="733">
      <c r="A733" s="53" t="n">
        <v>45667</v>
      </c>
      <c r="B733" s="15" t="n">
        <v>2700</v>
      </c>
    </row>
    <row r="734">
      <c r="A734" s="53" t="n">
        <v>45670</v>
      </c>
      <c r="B734" s="15" t="n">
        <v>2720</v>
      </c>
    </row>
    <row r="735">
      <c r="A735" s="53" t="n">
        <v>45671</v>
      </c>
      <c r="B735" s="15" t="n">
        <v>2670</v>
      </c>
    </row>
    <row r="736">
      <c r="A736" s="53" t="n">
        <v>45672</v>
      </c>
      <c r="B736" s="15" t="n">
        <v>2750</v>
      </c>
    </row>
    <row r="737">
      <c r="A737" s="53" t="n">
        <v>45673</v>
      </c>
      <c r="B737" s="15" t="n">
        <v>2700</v>
      </c>
    </row>
    <row r="738">
      <c r="A738" s="53" t="n">
        <v>45674</v>
      </c>
      <c r="B738" s="15" t="n">
        <v>2760</v>
      </c>
    </row>
    <row r="739">
      <c r="A739" s="53" t="n">
        <v>45677</v>
      </c>
      <c r="B739" s="15" t="n">
        <v>2770</v>
      </c>
    </row>
    <row r="740">
      <c r="A740" s="53" t="n">
        <v>45678</v>
      </c>
      <c r="B740" s="15" t="n">
        <v>2880</v>
      </c>
    </row>
    <row r="741">
      <c r="A741" s="53" t="n">
        <v>45679</v>
      </c>
      <c r="B741" s="15" t="n">
        <v>2840</v>
      </c>
    </row>
    <row r="742">
      <c r="A742" s="53" t="n">
        <v>45680</v>
      </c>
      <c r="B742" s="15" t="n">
        <v>2880</v>
      </c>
    </row>
    <row r="743">
      <c r="A743" s="53" t="n">
        <v>45681</v>
      </c>
      <c r="B743" s="15" t="n">
        <v>2860</v>
      </c>
    </row>
    <row r="744">
      <c r="A744" s="53" t="n">
        <v>45687</v>
      </c>
      <c r="B744" s="15" t="n">
        <v>2880</v>
      </c>
    </row>
    <row r="745">
      <c r="A745" s="53" t="n">
        <v>45688</v>
      </c>
      <c r="B745" s="15" t="n">
        <v>2930</v>
      </c>
    </row>
    <row r="746">
      <c r="A746" s="53" t="n">
        <v>45691</v>
      </c>
      <c r="B746" s="15" t="n">
        <v>2920</v>
      </c>
    </row>
    <row r="747">
      <c r="A747" s="53" t="n">
        <v>45692</v>
      </c>
      <c r="B747" s="15" t="n">
        <v>2980</v>
      </c>
    </row>
    <row r="748">
      <c r="A748" s="53" t="n">
        <v>45693</v>
      </c>
      <c r="B748" s="15" t="n">
        <v>2950</v>
      </c>
    </row>
    <row r="749">
      <c r="A749" s="53" t="n">
        <v>45694</v>
      </c>
      <c r="B749" s="15" t="n">
        <v>2880</v>
      </c>
    </row>
    <row r="750">
      <c r="A750" s="53" t="n">
        <v>45695</v>
      </c>
      <c r="B750" s="15" t="n">
        <v>3020</v>
      </c>
    </row>
    <row r="751">
      <c r="A751" s="53" t="n">
        <v>45698</v>
      </c>
      <c r="B751" s="15" t="n">
        <v>3050</v>
      </c>
    </row>
    <row r="752">
      <c r="A752" s="53" t="n">
        <v>45699</v>
      </c>
      <c r="B752" s="15" t="n">
        <v>3000</v>
      </c>
    </row>
    <row r="753">
      <c r="A753" s="53" t="n">
        <v>45700</v>
      </c>
      <c r="B753" s="15" t="n">
        <v>3000</v>
      </c>
    </row>
    <row r="754">
      <c r="A754" s="53" t="n">
        <v>45701</v>
      </c>
      <c r="B754" s="15" t="n">
        <v>3000</v>
      </c>
    </row>
    <row r="755">
      <c r="A755" s="53" t="n">
        <v>45702</v>
      </c>
      <c r="B755" s="15" t="n">
        <v>2980</v>
      </c>
    </row>
    <row r="756">
      <c r="A756" s="53" t="n">
        <v>45705</v>
      </c>
      <c r="B756" s="15" t="n">
        <v>3040</v>
      </c>
    </row>
    <row r="757">
      <c r="A757" s="53" t="n">
        <v>45706</v>
      </c>
      <c r="B757" s="15" t="n">
        <v>3070</v>
      </c>
    </row>
    <row r="758">
      <c r="A758" s="53" t="n">
        <v>45707</v>
      </c>
      <c r="B758" s="15" t="n">
        <v>2990</v>
      </c>
    </row>
    <row r="759">
      <c r="A759" s="53" t="n">
        <v>45708</v>
      </c>
      <c r="B759" s="15" t="n">
        <v>2930</v>
      </c>
    </row>
    <row r="760">
      <c r="A760" s="53" t="n">
        <v>45709</v>
      </c>
      <c r="B760" s="15" t="n">
        <v>3030</v>
      </c>
    </row>
    <row r="761">
      <c r="A761" s="53" t="n">
        <v>45712</v>
      </c>
      <c r="B761" s="15" t="n">
        <v>3070</v>
      </c>
    </row>
    <row r="762">
      <c r="A762" s="53" t="n">
        <v>45713</v>
      </c>
      <c r="B762" s="15" t="n">
        <v>2990</v>
      </c>
    </row>
    <row r="763">
      <c r="A763" s="53" t="n">
        <v>45714</v>
      </c>
      <c r="B763" s="15" t="n">
        <v>2870</v>
      </c>
    </row>
    <row r="764">
      <c r="A764" s="53" t="n">
        <v>45715</v>
      </c>
      <c r="B764" s="15" t="n">
        <v>2630</v>
      </c>
    </row>
    <row r="765">
      <c r="A765" s="53" t="n">
        <v>45716</v>
      </c>
      <c r="B765" s="15" t="n">
        <v>2500</v>
      </c>
    </row>
    <row r="766">
      <c r="A766" s="53" t="n">
        <v>45719</v>
      </c>
      <c r="B766" s="15" t="n">
        <v>2660</v>
      </c>
    </row>
    <row r="767">
      <c r="A767" s="53" t="n">
        <v>45720</v>
      </c>
      <c r="B767" s="15" t="n">
        <v>2550</v>
      </c>
    </row>
    <row r="768">
      <c r="A768" s="53" t="n">
        <v>45721</v>
      </c>
      <c r="B768" s="15" t="n">
        <v>2570</v>
      </c>
    </row>
    <row r="769">
      <c r="A769" s="53" t="n">
        <v>45722</v>
      </c>
      <c r="B769" s="15" t="n">
        <v>2610</v>
      </c>
    </row>
    <row r="770">
      <c r="A770" s="53" t="n">
        <v>45723</v>
      </c>
      <c r="B770" s="15" t="n">
        <v>2580</v>
      </c>
    </row>
    <row r="771">
      <c r="A771" s="53" t="n">
        <v>45726</v>
      </c>
      <c r="B771" s="15" t="n">
        <v>2570</v>
      </c>
    </row>
    <row r="772">
      <c r="A772" s="53" t="n">
        <v>45727</v>
      </c>
      <c r="B772" s="15" t="n">
        <v>2510</v>
      </c>
    </row>
    <row r="773">
      <c r="A773" s="53" t="n">
        <v>45728</v>
      </c>
      <c r="B773" s="15" t="n">
        <v>2540</v>
      </c>
    </row>
    <row r="774">
      <c r="A774" s="53" t="n">
        <v>45729</v>
      </c>
      <c r="B774" s="15" t="n">
        <v>2550</v>
      </c>
    </row>
    <row r="775">
      <c r="A775" s="53" t="n">
        <v>45730</v>
      </c>
      <c r="B775" s="15" t="n">
        <v>2530</v>
      </c>
    </row>
    <row r="776">
      <c r="A776" s="53" t="n">
        <v>45733</v>
      </c>
      <c r="B776" s="15" t="n">
        <v>2510</v>
      </c>
    </row>
    <row r="777">
      <c r="A777" s="53" t="n">
        <v>45734</v>
      </c>
      <c r="B777" s="15" t="n">
        <v>2450</v>
      </c>
    </row>
    <row r="778">
      <c r="A778" s="53" t="n">
        <v>45735</v>
      </c>
      <c r="B778" s="15" t="n">
        <v>2420</v>
      </c>
    </row>
    <row r="779">
      <c r="A779" s="53" t="n">
        <v>45736</v>
      </c>
      <c r="B779" s="15" t="n">
        <v>2180</v>
      </c>
    </row>
    <row r="780">
      <c r="A780" s="53" t="n">
        <v>45737</v>
      </c>
      <c r="B780" s="15" t="n">
        <v>2080</v>
      </c>
    </row>
    <row r="781">
      <c r="A781" s="53" t="n">
        <v>45740</v>
      </c>
      <c r="B781" s="15" t="n">
        <v>2110</v>
      </c>
    </row>
    <row r="782">
      <c r="A782" s="53" t="n">
        <v>45741</v>
      </c>
      <c r="B782" s="15" t="n">
        <v>2370</v>
      </c>
    </row>
    <row r="783">
      <c r="A783" s="53" t="n">
        <v>45742</v>
      </c>
      <c r="B783" s="15" t="n">
        <v>2400</v>
      </c>
    </row>
    <row r="784">
      <c r="A784" s="53" t="n">
        <v>45743</v>
      </c>
      <c r="B784" s="15" t="n">
        <v>2340</v>
      </c>
    </row>
    <row r="785">
      <c r="A785" s="53" t="n">
        <v>45755</v>
      </c>
      <c r="B785" s="15" t="n">
        <v>2080</v>
      </c>
    </row>
    <row r="786">
      <c r="A786" s="53" t="n">
        <v>45756</v>
      </c>
      <c r="B786" s="15" t="n">
        <v>2170</v>
      </c>
    </row>
    <row r="787">
      <c r="A787" s="53" t="n">
        <v>45757</v>
      </c>
      <c r="B787" s="15" t="n">
        <v>2280</v>
      </c>
    </row>
    <row r="788">
      <c r="A788" s="53" t="n">
        <v>45758</v>
      </c>
      <c r="B788" s="15" t="n">
        <v>2270</v>
      </c>
    </row>
    <row r="789">
      <c r="A789" s="53" t="n">
        <v>45761</v>
      </c>
      <c r="B789" s="15" t="n">
        <v>2480</v>
      </c>
    </row>
    <row r="790">
      <c r="A790" s="53" t="n">
        <v>45762</v>
      </c>
      <c r="B790" s="15" t="n">
        <v>2480</v>
      </c>
    </row>
    <row r="791">
      <c r="A791" s="53" t="n">
        <v>45763</v>
      </c>
      <c r="B791" s="15" t="n">
        <v>2460</v>
      </c>
    </row>
    <row r="792">
      <c r="A792" s="53" t="n">
        <v>45764</v>
      </c>
      <c r="B792" s="15" t="n">
        <v>2570</v>
      </c>
    </row>
    <row r="793">
      <c r="A793" s="53" t="n">
        <v>45768</v>
      </c>
      <c r="B793" s="15" t="n">
        <v>2690</v>
      </c>
    </row>
    <row r="794">
      <c r="A794" s="53" t="n">
        <v>45769</v>
      </c>
      <c r="B794" s="15" t="n">
        <v>2720</v>
      </c>
    </row>
    <row r="795">
      <c r="A795" s="53" t="n">
        <v>45770</v>
      </c>
      <c r="B795" s="15" t="n">
        <v>2790</v>
      </c>
    </row>
    <row r="796">
      <c r="A796" s="53" t="n">
        <v>45771</v>
      </c>
      <c r="B796" s="15" t="n">
        <v>2760</v>
      </c>
    </row>
    <row r="797">
      <c r="A797" s="53" t="n">
        <v>45772</v>
      </c>
      <c r="B797" s="15" t="n">
        <v>2810</v>
      </c>
    </row>
    <row r="798">
      <c r="A798" s="53" t="n">
        <v>45775</v>
      </c>
      <c r="B798" s="15" t="n">
        <v>2850</v>
      </c>
    </row>
    <row r="799">
      <c r="A799" s="53" t="n">
        <v>45776</v>
      </c>
      <c r="B799" s="15" t="n">
        <v>2850</v>
      </c>
    </row>
    <row r="800">
      <c r="A800" s="53" t="n">
        <v>45777</v>
      </c>
      <c r="B800" s="15" t="n">
        <v>2850</v>
      </c>
    </row>
    <row r="801">
      <c r="A801" s="53" t="n">
        <v>45779</v>
      </c>
      <c r="B801" s="15" t="n">
        <v>2850</v>
      </c>
    </row>
    <row r="802">
      <c r="A802" s="53" t="n">
        <v>45782</v>
      </c>
      <c r="B802" s="15" t="n">
        <v>2890</v>
      </c>
    </row>
    <row r="803">
      <c r="A803" s="53" t="n">
        <v>45783</v>
      </c>
      <c r="B803" s="15" t="n">
        <v>3000</v>
      </c>
    </row>
    <row r="804">
      <c r="A804" s="53" t="n">
        <v>45784</v>
      </c>
      <c r="B804" s="15" t="n">
        <v>2900</v>
      </c>
    </row>
    <row r="805">
      <c r="A805" s="53" t="n">
        <v>45785</v>
      </c>
      <c r="B805" s="15" t="n">
        <v>2730</v>
      </c>
    </row>
    <row r="806">
      <c r="A806" s="53" t="n">
        <v>45786</v>
      </c>
      <c r="B806" s="15" t="n">
        <v>2780</v>
      </c>
    </row>
    <row r="807">
      <c r="A807" s="53" t="n">
        <v>45791</v>
      </c>
      <c r="B807" s="15" t="n">
        <v>2890</v>
      </c>
    </row>
    <row r="808">
      <c r="A808" s="53" t="n">
        <v>45792</v>
      </c>
      <c r="B808" s="15" t="n">
        <v>2900</v>
      </c>
    </row>
    <row r="809">
      <c r="A809" s="53" t="n">
        <v>45793</v>
      </c>
      <c r="B809" s="15" t="n">
        <v>2870</v>
      </c>
    </row>
    <row r="810">
      <c r="A810" s="53" t="n">
        <v>45796</v>
      </c>
      <c r="B810" s="15" t="n">
        <v>2860</v>
      </c>
    </row>
    <row r="811">
      <c r="A811" s="53" t="n">
        <v>45797</v>
      </c>
      <c r="B811" s="15" t="n">
        <v>2900</v>
      </c>
    </row>
    <row r="812">
      <c r="A812" s="53" t="n">
        <v>45798</v>
      </c>
      <c r="B812" s="15" t="n">
        <v>2930</v>
      </c>
    </row>
    <row r="813">
      <c r="A813" s="53" t="n">
        <v>45799</v>
      </c>
      <c r="B813" s="15" t="n">
        <v>2920</v>
      </c>
    </row>
    <row r="814">
      <c r="A814" s="53" t="n">
        <v>45800</v>
      </c>
      <c r="B814" s="15" t="n">
        <v>2940</v>
      </c>
    </row>
    <row r="815">
      <c r="A815" s="53" t="n">
        <v>45803</v>
      </c>
      <c r="B815" s="15" t="n">
        <v>2960</v>
      </c>
    </row>
    <row r="816">
      <c r="A816" s="53" t="n">
        <v>45804</v>
      </c>
      <c r="B816" s="15" t="n">
        <v>2950</v>
      </c>
    </row>
    <row r="817">
      <c r="A817" s="53" t="n">
        <v>45805</v>
      </c>
      <c r="B817" s="15" t="n">
        <v>3000</v>
      </c>
    </row>
    <row r="818">
      <c r="A818" s="53" t="n">
        <v>45810</v>
      </c>
      <c r="B818" s="15" t="n">
        <v>2790</v>
      </c>
    </row>
    <row r="819">
      <c r="A819" s="53" t="n">
        <v>45811</v>
      </c>
      <c r="B819" s="15" t="n">
        <v>2780</v>
      </c>
    </row>
    <row r="820">
      <c r="A820" s="53" t="n">
        <v>45812</v>
      </c>
      <c r="B820" s="15" t="n">
        <v>2550</v>
      </c>
    </row>
    <row r="821">
      <c r="A821" s="53" t="n">
        <v>45813</v>
      </c>
      <c r="B821" s="15" t="n">
        <v>2570</v>
      </c>
    </row>
    <row r="822">
      <c r="A822" s="53" t="n">
        <v>45818</v>
      </c>
      <c r="B822" s="15" t="n">
        <v>2550</v>
      </c>
    </row>
    <row r="823">
      <c r="A823" s="53" t="n">
        <v>45819</v>
      </c>
      <c r="B823" s="15" t="n">
        <v>2620</v>
      </c>
    </row>
    <row r="824">
      <c r="A824" s="53" t="n">
        <v>45820</v>
      </c>
      <c r="B824" s="15" t="n">
        <v>2620</v>
      </c>
    </row>
    <row r="825">
      <c r="A825" s="53" t="n">
        <v>45821</v>
      </c>
      <c r="B825" s="15" t="n">
        <v>2590</v>
      </c>
    </row>
    <row r="826">
      <c r="A826" s="53" t="n">
        <v>45824</v>
      </c>
      <c r="B826" s="15" t="n">
        <v>2600</v>
      </c>
    </row>
    <row r="827">
      <c r="A827" s="53" t="n">
        <v>45825</v>
      </c>
      <c r="B827" s="15" t="n">
        <v>2640</v>
      </c>
    </row>
    <row r="828">
      <c r="A828" s="53" t="n">
        <v>45826</v>
      </c>
      <c r="B828" s="15" t="n">
        <v>2570</v>
      </c>
    </row>
    <row r="829">
      <c r="A829" s="53" t="n">
        <v>45827</v>
      </c>
      <c r="B829" s="15" t="n">
        <v>2520</v>
      </c>
    </row>
    <row r="830">
      <c r="A830" s="53" t="n">
        <v>45828</v>
      </c>
      <c r="B830" s="15" t="n">
        <v>2480</v>
      </c>
    </row>
    <row r="831">
      <c r="A831" s="53" t="n">
        <v>45831</v>
      </c>
      <c r="B831" s="15" t="n">
        <v>2440</v>
      </c>
    </row>
    <row r="832">
      <c r="A832" s="53" t="n">
        <v>45832</v>
      </c>
      <c r="B832" s="15" t="n">
        <v>2550</v>
      </c>
    </row>
    <row r="833">
      <c r="A833" s="53" t="n">
        <v>45833</v>
      </c>
      <c r="B833" s="15" t="n">
        <v>2550</v>
      </c>
    </row>
    <row r="834">
      <c r="A834" s="53" t="n">
        <v>45834</v>
      </c>
      <c r="B834" s="15" t="n">
        <v>2580</v>
      </c>
    </row>
    <row r="835">
      <c r="A835" s="53" t="n">
        <v>45838</v>
      </c>
      <c r="B835" s="15" t="n">
        <v>2580</v>
      </c>
    </row>
    <row r="836">
      <c r="A836" s="53" t="n">
        <v>45839</v>
      </c>
      <c r="B836" s="15" t="n">
        <v>2510</v>
      </c>
    </row>
    <row r="837">
      <c r="A837" s="53" t="n">
        <v>45840</v>
      </c>
      <c r="B837" s="15" t="n">
        <v>2460</v>
      </c>
    </row>
    <row r="838">
      <c r="A838" s="53" t="n">
        <v>45841</v>
      </c>
      <c r="B838" s="15" t="n">
        <v>2480</v>
      </c>
    </row>
    <row r="839">
      <c r="A839" s="53" t="n">
        <v>45842</v>
      </c>
      <c r="B839" s="15" t="n">
        <v>2550</v>
      </c>
    </row>
    <row r="840">
      <c r="A840" s="53" t="n">
        <v>45845</v>
      </c>
      <c r="B840" s="15" t="n">
        <v>2570</v>
      </c>
    </row>
    <row r="841">
      <c r="A841" s="53" t="n">
        <v>45846</v>
      </c>
      <c r="B841" s="15" t="n">
        <v>2600</v>
      </c>
    </row>
    <row r="842">
      <c r="A842" s="53" t="n">
        <v>45847</v>
      </c>
      <c r="B842" s="15" t="n">
        <v>2610</v>
      </c>
    </row>
    <row r="843">
      <c r="A843" s="53" t="n">
        <v>45848</v>
      </c>
      <c r="B843" s="15" t="n">
        <v>2710</v>
      </c>
    </row>
    <row r="844">
      <c r="A844" s="53" t="n">
        <v>45849</v>
      </c>
      <c r="B844" s="15" t="n">
        <v>2780</v>
      </c>
    </row>
    <row r="845">
      <c r="A845" s="53" t="n">
        <v>45852</v>
      </c>
      <c r="B845" s="15" t="n">
        <v>2720</v>
      </c>
    </row>
    <row r="846">
      <c r="A846" s="53" t="n">
        <v>45853</v>
      </c>
      <c r="B846" s="15" t="n">
        <v>2750</v>
      </c>
    </row>
    <row r="847">
      <c r="A847" s="53" t="n">
        <v>45854</v>
      </c>
      <c r="B847" s="15" t="n">
        <v>2780</v>
      </c>
    </row>
    <row r="848">
      <c r="A848" s="53" t="n">
        <v>45855</v>
      </c>
      <c r="B848" s="15" t="n">
        <v>2800</v>
      </c>
    </row>
    <row r="849">
      <c r="A849" s="53" t="n">
        <v>45856</v>
      </c>
      <c r="B849" s="15" t="n">
        <v>2800</v>
      </c>
    </row>
    <row r="850">
      <c r="A850" s="53" t="n">
        <v>45859</v>
      </c>
      <c r="B850" s="15" t="n">
        <v>2780</v>
      </c>
    </row>
    <row r="851">
      <c r="A851" s="53" t="n">
        <v>45860</v>
      </c>
      <c r="B851" s="15" t="n">
        <v>2720</v>
      </c>
    </row>
    <row r="852">
      <c r="A852" s="53" t="n">
        <v>45861</v>
      </c>
      <c r="B852" s="15" t="n">
        <v>2730</v>
      </c>
    </row>
    <row r="853">
      <c r="A853" s="53" t="n">
        <v>45862</v>
      </c>
      <c r="B853" s="15" t="n">
        <v>2850</v>
      </c>
    </row>
    <row r="854">
      <c r="A854" s="53" t="n">
        <v>45863</v>
      </c>
      <c r="B854" s="15" t="n">
        <v>2870</v>
      </c>
    </row>
    <row r="855">
      <c r="A855" s="53" t="n">
        <v>45866</v>
      </c>
      <c r="B855" s="15" t="n">
        <v>2840</v>
      </c>
    </row>
    <row r="856">
      <c r="A856" s="53" t="n">
        <v>45867</v>
      </c>
      <c r="B856" s="15" t="n">
        <v>2840</v>
      </c>
    </row>
    <row r="857">
      <c r="A857" s="53" t="n">
        <v>45868</v>
      </c>
      <c r="B857" s="15" t="n">
        <v>2770</v>
      </c>
    </row>
    <row r="858">
      <c r="A858" s="53" t="n">
        <v>45869</v>
      </c>
      <c r="B858" s="15" t="n">
        <v>2730</v>
      </c>
    </row>
    <row r="859">
      <c r="A859" s="53" t="n">
        <v>45870</v>
      </c>
      <c r="B859" s="15" t="n">
        <v>2730</v>
      </c>
    </row>
    <row r="860">
      <c r="A860" s="53" t="n">
        <v>45873</v>
      </c>
      <c r="B860" s="15" t="n">
        <v>2750</v>
      </c>
    </row>
    <row r="861">
      <c r="A861" s="53" t="n">
        <v>45874</v>
      </c>
      <c r="B861" s="15" t="n">
        <v>2780</v>
      </c>
    </row>
    <row r="862">
      <c r="A862" s="53" t="n">
        <v>45875</v>
      </c>
      <c r="B862" s="15" t="n">
        <v>2740</v>
      </c>
    </row>
    <row r="863">
      <c r="A863" s="53" t="n">
        <v>45876</v>
      </c>
      <c r="B863" s="15" t="n">
        <v>2740</v>
      </c>
    </row>
    <row r="864">
      <c r="A864" s="53" t="n">
        <v>45877</v>
      </c>
      <c r="B864" s="15" t="n">
        <v>2700</v>
      </c>
    </row>
    <row r="865">
      <c r="A865" s="53" t="n">
        <v>45880</v>
      </c>
      <c r="B865" s="15" t="n">
        <v>2730</v>
      </c>
    </row>
    <row r="866">
      <c r="A866" s="53" t="n">
        <v>45881</v>
      </c>
      <c r="B866" s="15" t="n">
        <v>2780</v>
      </c>
    </row>
    <row r="867">
      <c r="A867" s="53" t="n">
        <v>45882</v>
      </c>
      <c r="B867" s="15" t="n">
        <v>2770</v>
      </c>
    </row>
    <row r="868">
      <c r="A868" s="53" t="n">
        <v>45883</v>
      </c>
      <c r="B868" s="15" t="n">
        <v>2770</v>
      </c>
    </row>
    <row r="869">
      <c r="A869" s="53" t="n">
        <v>45884</v>
      </c>
      <c r="B869" s="15" t="n">
        <v>2770</v>
      </c>
    </row>
    <row r="870">
      <c r="A870" s="53" t="n">
        <v>45888</v>
      </c>
      <c r="B870" s="15" t="n">
        <v>2760</v>
      </c>
    </row>
    <row r="871">
      <c r="A871" s="53" t="n">
        <v>45889</v>
      </c>
      <c r="B871" s="15" t="n">
        <v>2790</v>
      </c>
    </row>
    <row r="872">
      <c r="A872" s="53" t="n">
        <v>45890</v>
      </c>
      <c r="B872" s="15" t="n">
        <v>2770</v>
      </c>
    </row>
    <row r="873">
      <c r="A873" s="53" t="n">
        <v>45891</v>
      </c>
      <c r="B873" s="15" t="n">
        <v>2730</v>
      </c>
    </row>
    <row r="874">
      <c r="A874" s="53" t="n">
        <v>45894</v>
      </c>
      <c r="B874" s="15" t="n">
        <v>2750</v>
      </c>
    </row>
    <row r="875">
      <c r="A875" s="53" t="n">
        <v>45895</v>
      </c>
      <c r="B875" s="15" t="n">
        <v>2760</v>
      </c>
    </row>
    <row r="876">
      <c r="A876" s="53" t="n">
        <v>45896</v>
      </c>
      <c r="B876" s="15" t="n">
        <v>2720</v>
      </c>
    </row>
    <row r="877">
      <c r="A877" s="53" t="n">
        <v>45897</v>
      </c>
      <c r="B877" s="15" t="n">
        <v>2740</v>
      </c>
    </row>
    <row r="878">
      <c r="A878" s="53" t="n">
        <v>45898</v>
      </c>
      <c r="B878" s="15" t="n">
        <v>2710</v>
      </c>
    </row>
    <row r="879">
      <c r="A879" s="53" t="n">
        <v>45901</v>
      </c>
      <c r="B879" s="15" t="n">
        <v>2690</v>
      </c>
    </row>
    <row r="880">
      <c r="A880" s="53" t="n">
        <v>45902</v>
      </c>
      <c r="B880" s="15" t="n">
        <v>2710</v>
      </c>
    </row>
    <row r="881">
      <c r="A881" s="53" t="n">
        <v>45903</v>
      </c>
      <c r="B881" s="15" t="n">
        <v>2720</v>
      </c>
    </row>
    <row r="882">
      <c r="A882" s="53" t="n">
        <v>45904</v>
      </c>
      <c r="B882" s="15" t="n">
        <v>2720</v>
      </c>
    </row>
    <row r="883">
      <c r="A883" s="53" t="n">
        <v>45908</v>
      </c>
      <c r="B883" s="15" t="n">
        <v>2580</v>
      </c>
    </row>
    <row r="884">
      <c r="A884" s="53" t="n">
        <v>45909</v>
      </c>
      <c r="B884" s="15" t="n">
        <v>2480</v>
      </c>
    </row>
    <row r="885">
      <c r="A885" s="53" t="n">
        <v>45910</v>
      </c>
      <c r="B885" s="15" t="n">
        <v>2500</v>
      </c>
    </row>
    <row r="886">
      <c r="A886" s="53" t="n">
        <v>45911</v>
      </c>
      <c r="B886" s="15" t="n">
        <v>2660</v>
      </c>
    </row>
    <row r="887">
      <c r="A887" s="53" t="n">
        <v>45912</v>
      </c>
      <c r="B887" s="15" t="n">
        <v>2690</v>
      </c>
    </row>
    <row r="888">
      <c r="A888" s="53" t="n">
        <v>45915</v>
      </c>
      <c r="B888" s="15" t="n">
        <v>2680</v>
      </c>
    </row>
    <row r="889">
      <c r="A889" s="53" t="n">
        <v>45916</v>
      </c>
      <c r="B889" s="15" t="n">
        <v>2640</v>
      </c>
    </row>
    <row r="890">
      <c r="A890" s="53" t="n">
        <v>45917</v>
      </c>
      <c r="B890" s="15" t="n">
        <v>2650</v>
      </c>
    </row>
    <row r="891">
      <c r="A891" s="53" t="n">
        <v>45918</v>
      </c>
      <c r="B891" s="15" t="n">
        <v>2610</v>
      </c>
    </row>
    <row r="892">
      <c r="A892" s="53" t="n">
        <v>45919</v>
      </c>
      <c r="B892" s="15" t="n">
        <v>2610</v>
      </c>
    </row>
    <row r="893">
      <c r="A893" s="53" t="n">
        <v>45922</v>
      </c>
      <c r="B893" s="15" t="n">
        <v>2610</v>
      </c>
    </row>
    <row r="894">
      <c r="A894" s="53" t="n">
        <v>45923</v>
      </c>
      <c r="B894" s="15" t="n">
        <v>2660</v>
      </c>
    </row>
    <row r="895">
      <c r="A895" s="53" t="n">
        <v>45924</v>
      </c>
      <c r="B895" s="15" t="n">
        <v>2690</v>
      </c>
    </row>
    <row r="896">
      <c r="A896" s="53" t="n">
        <v>45925</v>
      </c>
      <c r="B896" s="15" t="n">
        <v>2670</v>
      </c>
    </row>
    <row r="897">
      <c r="A897" s="53" t="n">
        <v>45926</v>
      </c>
      <c r="B897" s="15" t="n">
        <v>2670</v>
      </c>
    </row>
    <row r="898">
      <c r="A898" s="53" t="n">
        <v>45929</v>
      </c>
      <c r="B898" s="15" t="n">
        <v>2610</v>
      </c>
    </row>
    <row r="899">
      <c r="A899" s="53" t="n">
        <v>45930</v>
      </c>
      <c r="B899" s="15" t="n">
        <v>2590</v>
      </c>
    </row>
    <row r="900">
      <c r="A900" s="53" t="n">
        <v>45931</v>
      </c>
      <c r="B900" s="15" t="n">
        <v>2590</v>
      </c>
    </row>
    <row r="901">
      <c r="A901" s="53" t="n">
        <v>45932</v>
      </c>
      <c r="B901" s="15" t="n">
        <v>2600</v>
      </c>
    </row>
    <row r="902">
      <c r="A902" s="53" t="n">
        <v>45933</v>
      </c>
      <c r="B902" s="15" t="n">
        <v>2610</v>
      </c>
    </row>
    <row r="903">
      <c r="A903" s="53" t="n">
        <v>45936</v>
      </c>
      <c r="B903" s="15" t="n">
        <v>2610</v>
      </c>
    </row>
    <row r="904">
      <c r="A904" s="53" t="n">
        <v>45937</v>
      </c>
      <c r="B904" s="15" t="n">
        <v>2600</v>
      </c>
    </row>
    <row r="905">
      <c r="A905" s="53" t="n">
        <v>45938</v>
      </c>
      <c r="B905" s="15" t="n">
        <v>2590</v>
      </c>
    </row>
    <row r="906">
      <c r="A906" s="53" t="n">
        <v>45939</v>
      </c>
      <c r="B906" s="15" t="n">
        <v>2690</v>
      </c>
    </row>
    <row r="907">
      <c r="A907" s="53" t="n">
        <v>45940</v>
      </c>
      <c r="B907" s="15" t="n">
        <v>2630</v>
      </c>
    </row>
    <row r="908">
      <c r="A908" s="53" t="n">
        <v>45943</v>
      </c>
      <c r="B908" s="15" t="n">
        <v>2580</v>
      </c>
    </row>
    <row r="909">
      <c r="A909" s="53" t="n">
        <v>45944</v>
      </c>
      <c r="B909" s="15" t="n">
        <v>2560</v>
      </c>
    </row>
    <row r="910">
      <c r="A910" s="53" t="n">
        <v>45945</v>
      </c>
      <c r="B910" s="15" t="n">
        <v>2500</v>
      </c>
    </row>
    <row r="911">
      <c r="A911" s="53" t="n">
        <v>45946</v>
      </c>
      <c r="B911" s="15" t="n">
        <v>2520</v>
      </c>
    </row>
    <row r="912">
      <c r="A912" s="53" t="n">
        <v>45947</v>
      </c>
      <c r="B912" s="15" t="n">
        <v>2520</v>
      </c>
    </row>
    <row r="913">
      <c r="A913" s="53" t="n">
        <v>45950</v>
      </c>
      <c r="B913" s="15" t="n">
        <v>2640</v>
      </c>
    </row>
    <row r="914">
      <c r="A914" s="53" t="n">
        <v>45951</v>
      </c>
      <c r="B914" s="15" t="n">
        <v>2670</v>
      </c>
    </row>
    <row r="915">
      <c r="A915" s="53" t="n">
        <v>45952</v>
      </c>
      <c r="B915" s="15" t="n">
        <v>2620</v>
      </c>
    </row>
    <row r="916">
      <c r="A916" s="53" t="n">
        <v>45953</v>
      </c>
      <c r="B916" s="15" t="n">
        <v>2640</v>
      </c>
    </row>
    <row r="917">
      <c r="A917" s="53" t="n">
        <v>45954</v>
      </c>
      <c r="B917" s="15" t="n">
        <v>2610</v>
      </c>
    </row>
    <row r="918">
      <c r="A918" s="53" t="n">
        <v>45957</v>
      </c>
      <c r="B918" s="15" t="n">
        <v>2600</v>
      </c>
    </row>
    <row r="919">
      <c r="A919" s="53" t="n">
        <v>45958</v>
      </c>
      <c r="B919" s="15" t="n">
        <v>2560</v>
      </c>
    </row>
    <row r="920">
      <c r="A920" s="53" t="n">
        <v>45959</v>
      </c>
      <c r="B920" s="15" t="n">
        <v>2600</v>
      </c>
    </row>
    <row r="921">
      <c r="A921" s="53" t="n">
        <v>45960</v>
      </c>
      <c r="B921" s="15" t="n">
        <v>2570</v>
      </c>
    </row>
    <row r="922">
      <c r="A922" s="53" t="n">
        <v>45961</v>
      </c>
      <c r="B922" s="15" t="n">
        <v>2550</v>
      </c>
    </row>
    <row r="923">
      <c r="A923" s="53" t="n">
        <v>45964</v>
      </c>
      <c r="B923" s="15" t="n">
        <v>2530</v>
      </c>
    </row>
    <row r="924">
      <c r="A924" s="53" t="n">
        <v>45965</v>
      </c>
      <c r="B924" s="15" t="n">
        <v>2510</v>
      </c>
    </row>
    <row r="925">
      <c r="A925" s="53" t="n">
        <v>45966</v>
      </c>
      <c r="B925" s="15" t="n">
        <v>2500</v>
      </c>
    </row>
    <row r="926">
      <c r="A926" s="53" t="n">
        <v>45967</v>
      </c>
      <c r="B926" s="15" t="n">
        <v>2490</v>
      </c>
    </row>
    <row r="927">
      <c r="A927" s="53" t="n">
        <v>45968</v>
      </c>
      <c r="B927" s="15" t="n">
        <v>2510</v>
      </c>
    </row>
    <row r="928">
      <c r="A928" s="53" t="n">
        <v>45971</v>
      </c>
      <c r="B928" s="15" t="n">
        <v>2500</v>
      </c>
    </row>
    <row r="929">
      <c r="A929" s="53" t="n">
        <v>45972</v>
      </c>
      <c r="B929" s="15" t="n">
        <v>2500</v>
      </c>
    </row>
    <row r="930">
      <c r="A930" s="53" t="n">
        <v>45973</v>
      </c>
      <c r="B930" s="15" t="n">
        <v>2480</v>
      </c>
    </row>
    <row r="931">
      <c r="A931" s="53" t="n">
        <v>45974</v>
      </c>
      <c r="B931" s="15" t="n">
        <v>2460</v>
      </c>
    </row>
    <row r="932">
      <c r="A932" s="53" t="n">
        <v>45975</v>
      </c>
      <c r="B932" s="15" t="n">
        <v>2490</v>
      </c>
    </row>
    <row r="933">
      <c r="A933" s="53" t="n">
        <v>45978</v>
      </c>
      <c r="B933" s="15" t="n">
        <v>2480</v>
      </c>
    </row>
    <row r="934">
      <c r="A934" s="53" t="n">
        <v>45979</v>
      </c>
      <c r="B934" s="15" t="n">
        <v>2470</v>
      </c>
    </row>
    <row r="935">
      <c r="A935" s="53" t="n">
        <v>45980</v>
      </c>
      <c r="B935" s="15" t="n">
        <v>2460</v>
      </c>
    </row>
    <row r="936">
      <c r="A936" s="53" t="n">
        <v>45981</v>
      </c>
      <c r="B936" s="15" t="n">
        <v>2450</v>
      </c>
    </row>
    <row r="937">
      <c r="A937" s="53" t="n">
        <v>45982</v>
      </c>
      <c r="B937" s="15" t="n">
        <v>2420</v>
      </c>
    </row>
    <row r="938">
      <c r="A938" s="53" t="n">
        <v>45985</v>
      </c>
      <c r="B938" s="15" t="n">
        <v>2400</v>
      </c>
    </row>
    <row r="939">
      <c r="A939" s="53" t="n">
        <v>45986</v>
      </c>
      <c r="B939" s="15" t="n">
        <v>2390</v>
      </c>
    </row>
    <row r="940">
      <c r="A940" s="53" t="n">
        <v>45987</v>
      </c>
      <c r="B940" s="15" t="n">
        <v>2380</v>
      </c>
    </row>
    <row r="941">
      <c r="A941" s="53" t="n">
        <v>45988</v>
      </c>
      <c r="B941" s="15" t="n">
        <v>2370</v>
      </c>
    </row>
    <row r="942">
      <c r="A942" s="53" t="n">
        <v>45989</v>
      </c>
      <c r="B942" s="15" t="n">
        <v>2340</v>
      </c>
    </row>
    <row r="943">
      <c r="A943" s="53" t="n">
        <v>45992</v>
      </c>
      <c r="B943" s="15" t="n">
        <v>2380</v>
      </c>
    </row>
    <row r="944">
      <c r="A944" s="53" t="n">
        <v>45993</v>
      </c>
      <c r="B944" s="15" t="n">
        <v>2380</v>
      </c>
    </row>
    <row r="945">
      <c r="A945" s="53" t="n">
        <v>45994</v>
      </c>
      <c r="B945" s="15" t="n">
        <v>2340</v>
      </c>
    </row>
    <row r="946">
      <c r="A946" s="53" t="n">
        <v>45995</v>
      </c>
      <c r="B946" s="15" t="n">
        <v>2360</v>
      </c>
    </row>
    <row r="947">
      <c r="A947" s="53" t="n">
        <v>45996</v>
      </c>
      <c r="B947" s="15" t="n">
        <v>2330</v>
      </c>
    </row>
    <row r="948">
      <c r="A948" s="53" t="n">
        <v>45999</v>
      </c>
      <c r="B948" s="15" t="n">
        <v>2330</v>
      </c>
    </row>
    <row r="949">
      <c r="A949" s="53" t="n">
        <v>46000</v>
      </c>
      <c r="B949" s="15" t="n">
        <v>2250</v>
      </c>
    </row>
    <row r="950">
      <c r="A950" s="53" t="n">
        <v>46001</v>
      </c>
      <c r="B950" s="15" t="n">
        <v>2250</v>
      </c>
    </row>
    <row r="951">
      <c r="A951" s="53" t="n">
        <v>46002</v>
      </c>
      <c r="B951" s="15" t="n">
        <v>2210</v>
      </c>
    </row>
    <row r="952">
      <c r="A952" s="53" t="n">
        <v>46003</v>
      </c>
      <c r="B952" s="15" t="n">
        <v>2160</v>
      </c>
    </row>
    <row r="953">
      <c r="A953" s="53" t="n">
        <v>46006</v>
      </c>
      <c r="B953" s="15" t="n">
        <v>2290</v>
      </c>
    </row>
    <row r="954">
      <c r="A954" s="53" t="n">
        <v>46007</v>
      </c>
      <c r="B954" s="15" t="n">
        <v>2240</v>
      </c>
    </row>
    <row r="955">
      <c r="A955" s="53" t="n">
        <v>46008</v>
      </c>
      <c r="B955" s="15" t="n">
        <v>2250</v>
      </c>
    </row>
    <row r="956">
      <c r="A956" s="53" t="n">
        <v>46009</v>
      </c>
      <c r="B956" s="15" t="n">
        <v>2270</v>
      </c>
    </row>
    <row r="957">
      <c r="A957" s="53" t="n">
        <v>46010</v>
      </c>
      <c r="B957" s="15" t="n">
        <v>2240</v>
      </c>
    </row>
    <row r="958">
      <c r="A958" s="53" t="n">
        <v>46013</v>
      </c>
      <c r="B958" s="15" t="n">
        <v>2220</v>
      </c>
    </row>
    <row r="959">
      <c r="A959" s="53" t="n">
        <v>46014</v>
      </c>
      <c r="B959" s="15" t="n">
        <v>2240</v>
      </c>
    </row>
    <row r="960">
      <c r="A960" s="53" t="n">
        <v>46015</v>
      </c>
      <c r="B960" s="15" t="n">
        <v>2230</v>
      </c>
    </row>
    <row r="961">
      <c r="A961" s="53" t="n">
        <v>46020</v>
      </c>
      <c r="B961" s="15" t="n">
        <v>2260</v>
      </c>
    </row>
    <row r="962">
      <c r="A962" s="53" t="n">
        <v>46021</v>
      </c>
      <c r="B962" s="15" t="n">
        <v>2230</v>
      </c>
    </row>
    <row r="963">
      <c r="A963" s="53" t="n">
        <v>46024</v>
      </c>
      <c r="B963" s="15" t="n">
        <v>2160</v>
      </c>
    </row>
    <row r="964">
      <c r="A964" s="53" t="n">
        <v>46027</v>
      </c>
      <c r="B964" s="15" t="n">
        <v>2180</v>
      </c>
    </row>
    <row r="965">
      <c r="A965" s="53" t="n">
        <v>46028</v>
      </c>
      <c r="B965" s="15" t="n">
        <v>2150</v>
      </c>
    </row>
    <row r="966">
      <c r="A966" s="53" t="n">
        <v>46029</v>
      </c>
      <c r="B966" s="15" t="n">
        <v>2170</v>
      </c>
    </row>
    <row r="967">
      <c r="A967" s="53" t="n">
        <v>46030</v>
      </c>
      <c r="B967" s="15" t="n">
        <v>2130</v>
      </c>
    </row>
    <row r="968">
      <c r="A968" s="53" t="n">
        <v>46031</v>
      </c>
      <c r="B968" s="15" t="n">
        <v>2080</v>
      </c>
    </row>
    <row r="969">
      <c r="A969" s="53" t="n">
        <v>46034</v>
      </c>
      <c r="B969" s="15" t="n">
        <v>2150</v>
      </c>
    </row>
    <row r="970">
      <c r="A970" s="53" t="n">
        <v>46035</v>
      </c>
      <c r="B970" s="15" t="n">
        <v>2110</v>
      </c>
    </row>
    <row r="971">
      <c r="A971" s="53" t="n">
        <v>46036</v>
      </c>
      <c r="B971" s="15" t="n">
        <v>2250</v>
      </c>
    </row>
    <row r="972">
      <c r="A972" s="53" t="n">
        <v>46037</v>
      </c>
      <c r="B972" s="15" t="n">
        <v>2290</v>
      </c>
    </row>
    <row r="973">
      <c r="A973" s="53" t="n">
        <v>46041</v>
      </c>
      <c r="B973" s="15" t="n">
        <v>2260</v>
      </c>
    </row>
    <row r="974">
      <c r="A974" s="53" t="n">
        <v>46042</v>
      </c>
      <c r="B974" s="15" t="n">
        <v>2230</v>
      </c>
    </row>
    <row r="975">
      <c r="A975" s="53" t="n">
        <v>46043</v>
      </c>
      <c r="B975" s="15" t="n">
        <v>2210</v>
      </c>
    </row>
    <row r="976">
      <c r="A976" s="53" t="n">
        <v>46044</v>
      </c>
      <c r="B976" s="15" t="n">
        <v>2220</v>
      </c>
    </row>
    <row r="977">
      <c r="A977" s="53" t="n">
        <v>46045</v>
      </c>
      <c r="B977" s="15" t="n">
        <v>2250</v>
      </c>
    </row>
    <row r="978">
      <c r="A978" s="53" t="n">
        <v>46048</v>
      </c>
      <c r="B978" s="15" t="n">
        <v>2250</v>
      </c>
    </row>
    <row r="979">
      <c r="A979" s="53" t="n">
        <v>46049</v>
      </c>
      <c r="B979" s="15" t="n">
        <v>2230</v>
      </c>
    </row>
    <row r="980">
      <c r="A980" s="53" t="n">
        <v>46050</v>
      </c>
      <c r="B980" s="15" t="n">
        <v>2100</v>
      </c>
    </row>
    <row r="981">
      <c r="A981" s="53" t="n">
        <v>46051</v>
      </c>
      <c r="B981" s="15" t="n">
        <v>2120</v>
      </c>
    </row>
    <row r="982">
      <c r="A982" s="53" t="n">
        <v>46052</v>
      </c>
      <c r="B982" s="15" t="n">
        <v>2250</v>
      </c>
    </row>
    <row r="983">
      <c r="A983" s="53" t="n">
        <v>46055</v>
      </c>
      <c r="B983" s="15" t="n">
        <v>2250</v>
      </c>
    </row>
    <row r="984">
      <c r="A984" s="53" t="n">
        <v>46056</v>
      </c>
      <c r="B984" s="15" t="n">
        <v>2220</v>
      </c>
    </row>
    <row r="985">
      <c r="A985" s="53" t="n">
        <v>46057</v>
      </c>
      <c r="B985" s="15" t="n">
        <v>2400</v>
      </c>
    </row>
    <row r="986">
      <c r="A986" s="53" t="n">
        <v>46058</v>
      </c>
      <c r="B986" s="15" t="n">
        <v>2400</v>
      </c>
    </row>
    <row r="987">
      <c r="A987" s="53" t="n">
        <v>46059</v>
      </c>
      <c r="B987" s="15" t="n">
        <v>2380</v>
      </c>
    </row>
    <row r="988">
      <c r="A988" s="53" t="n">
        <v>46062</v>
      </c>
      <c r="B988" s="15" t="n">
        <v>2410</v>
      </c>
    </row>
    <row r="989">
      <c r="A989" s="53" t="n">
        <v>46063</v>
      </c>
      <c r="B989" s="15" t="n">
        <v>2450</v>
      </c>
    </row>
    <row r="990">
      <c r="A990" s="53" t="n">
        <v>46064</v>
      </c>
      <c r="B990" s="15" t="n">
        <v>2400</v>
      </c>
    </row>
    <row r="991">
      <c r="A991" s="53" t="n">
        <v>46065</v>
      </c>
      <c r="B991" s="15" t="n">
        <v>2380</v>
      </c>
    </row>
    <row r="992">
      <c r="A992" s="53" t="n">
        <v>46066</v>
      </c>
      <c r="B992" s="15" t="n">
        <v>2350</v>
      </c>
    </row>
    <row r="993">
      <c r="A993" s="53" t="n">
        <v>46071</v>
      </c>
      <c r="B993" s="15" t="n">
        <v>2380</v>
      </c>
    </row>
    <row r="994">
      <c r="A994" s="53" t="n">
        <v>46072</v>
      </c>
      <c r="B994" s="15" t="n">
        <v>2350</v>
      </c>
    </row>
    <row r="995">
      <c r="A995" s="53" t="n">
        <v>46073</v>
      </c>
      <c r="B995" s="15" t="n">
        <v>2340</v>
      </c>
    </row>
    <row r="996">
      <c r="A996" s="53" t="n">
        <v>46076</v>
      </c>
      <c r="B996" s="15" t="n">
        <v>2400</v>
      </c>
    </row>
    <row r="997">
      <c r="A997" s="53" t="n">
        <v>46077</v>
      </c>
      <c r="B997" s="15" t="n">
        <v>2360</v>
      </c>
    </row>
    <row r="998">
      <c r="A998" s="53" t="n">
        <v>46078</v>
      </c>
      <c r="B998" s="15" t="n">
        <v>2390</v>
      </c>
    </row>
    <row r="999">
      <c r="A999" s="53" t="n">
        <v>46079</v>
      </c>
      <c r="B999" s="15" t="n">
        <v>2350</v>
      </c>
    </row>
    <row r="1000">
      <c r="A1000" s="53" t="n">
        <v>46080</v>
      </c>
      <c r="B1000" s="15" t="n">
        <v>2360</v>
      </c>
    </row>
    <row r="1001">
      <c r="A1001" s="53" t="n">
        <v>46083</v>
      </c>
      <c r="B1001" s="15" t="n">
        <v>2300</v>
      </c>
    </row>
    <row r="1002">
      <c r="A1002" s="53" t="n">
        <v>46084</v>
      </c>
      <c r="B1002" s="15" t="n">
        <v>2160</v>
      </c>
    </row>
    <row r="1003">
      <c r="A1003" s="53" t="n">
        <v>46085</v>
      </c>
      <c r="B1003" s="15" t="n">
        <v>2130</v>
      </c>
    </row>
    <row r="1004">
      <c r="A1004" s="53" t="n">
        <v>46086</v>
      </c>
      <c r="B1004" s="15" t="n">
        <v>2240</v>
      </c>
    </row>
    <row r="1005">
      <c r="A1005" s="53" t="n">
        <v>46087</v>
      </c>
      <c r="B1005" s="15" t="n">
        <v>2230</v>
      </c>
    </row>
    <row r="1006">
      <c r="A1006" s="53" t="n">
        <v>46090</v>
      </c>
      <c r="B1006" s="15" t="n">
        <v>2190</v>
      </c>
    </row>
    <row r="1007">
      <c r="A1007" s="53" t="n">
        <v>46091</v>
      </c>
      <c r="B1007" s="15" t="n">
        <v>2210</v>
      </c>
    </row>
    <row r="1008">
      <c r="A1008" s="53" t="n">
        <v>46092</v>
      </c>
      <c r="B1008" s="15" t="n">
        <v>2210</v>
      </c>
    </row>
    <row r="1009">
      <c r="A1009" s="53" t="n">
        <v>46093</v>
      </c>
      <c r="B1009" s="15" t="n">
        <v>2210</v>
      </c>
    </row>
    <row r="1010">
      <c r="A1010" s="53" t="n">
        <v>46094</v>
      </c>
      <c r="B1010" s="15" t="n">
        <v>2130</v>
      </c>
    </row>
    <row r="1011">
      <c r="A1011" s="53" t="n">
        <v>46097</v>
      </c>
      <c r="B1011" s="15" t="n">
        <v>2110</v>
      </c>
    </row>
    <row r="1012">
      <c r="A1012" s="53" t="n">
        <v>46098</v>
      </c>
      <c r="B1012" s="15" t="n">
        <v>2110</v>
      </c>
    </row>
    <row r="1013">
      <c r="A1013" s="53" t="n">
        <v>46106</v>
      </c>
      <c r="B1013" s="15" t="n">
        <v>2140</v>
      </c>
    </row>
    <row r="1014">
      <c r="A1014" s="53" t="n">
        <v>46107</v>
      </c>
      <c r="B1014" s="15" t="n">
        <v>2110</v>
      </c>
    </row>
    <row r="1015">
      <c r="A1015" s="53" t="n">
        <v>46108</v>
      </c>
      <c r="B1015" s="15" t="n">
        <v>2130</v>
      </c>
    </row>
    <row r="1016">
      <c r="A1016" s="53" t="n">
        <v>46111</v>
      </c>
      <c r="B1016" s="15" t="n">
        <v>2160</v>
      </c>
    </row>
    <row r="1017">
      <c r="A1017" s="53" t="n">
        <v>46112</v>
      </c>
      <c r="B1017" s="15" t="n">
        <v>2110</v>
      </c>
    </row>
    <row r="1018">
      <c r="A1018" s="53" t="n">
        <v>46113</v>
      </c>
      <c r="B1018" s="15" t="n">
        <v>2130</v>
      </c>
    </row>
    <row r="1019">
      <c r="A1019" s="53" t="n">
        <v>46114</v>
      </c>
      <c r="B1019" s="15" t="n">
        <v>2100</v>
      </c>
    </row>
    <row r="1020">
      <c r="A1020" s="53" t="n">
        <v>46118</v>
      </c>
      <c r="B1020" s="15" t="n">
        <v>2080</v>
      </c>
    </row>
    <row r="1021">
      <c r="A1021" s="53" t="n">
        <v>46119</v>
      </c>
      <c r="B1021" s="15" t="n">
        <v>2080</v>
      </c>
    </row>
    <row r="1022">
      <c r="A1022" s="53" t="n">
        <v>46120</v>
      </c>
      <c r="B1022" s="15" t="n">
        <v>2090</v>
      </c>
    </row>
    <row r="1023">
      <c r="A1023" s="53" t="n">
        <v>46121</v>
      </c>
      <c r="B1023" s="15" t="n">
        <v>2130</v>
      </c>
    </row>
    <row r="1024">
      <c r="A1024" s="53" t="n">
        <v>46122</v>
      </c>
      <c r="B1024" s="15" t="n">
        <v>2110</v>
      </c>
    </row>
    <row r="1025">
      <c r="A1025" s="53" t="n">
        <v>46125</v>
      </c>
      <c r="B1025" s="15" t="n">
        <v>2110</v>
      </c>
    </row>
    <row r="1026">
      <c r="A1026" s="53" t="n">
        <v>46126</v>
      </c>
      <c r="B1026" s="15" t="n">
        <v>2130</v>
      </c>
    </row>
    <row r="1027">
      <c r="A1027" s="53" t="n">
        <v>46127</v>
      </c>
      <c r="B1027" s="15" t="n">
        <v>2090</v>
      </c>
    </row>
    <row r="1028">
      <c r="A1028" s="53" t="n">
        <v>46128</v>
      </c>
      <c r="B1028" s="15" t="n">
        <v>2080</v>
      </c>
    </row>
    <row r="1029">
      <c r="A1029" s="53" t="n">
        <v>46129</v>
      </c>
      <c r="B1029" s="15" t="n">
        <v>2080</v>
      </c>
    </row>
    <row r="1030">
      <c r="A1030" s="53" t="n">
        <v>46132</v>
      </c>
      <c r="B1030" s="15" t="n">
        <v>2040</v>
      </c>
    </row>
    <row r="1031">
      <c r="A1031" s="53" t="n">
        <v>46133</v>
      </c>
      <c r="B1031" s="15" t="n">
        <v>2000</v>
      </c>
    </row>
    <row r="1032">
      <c r="A1032" s="53" t="n">
        <v>46134</v>
      </c>
      <c r="B1032" s="15" t="n">
        <v>1995</v>
      </c>
    </row>
    <row r="1033">
      <c r="A1033" s="53" t="n">
        <v>46135</v>
      </c>
      <c r="B1033" s="15" t="n">
        <v>1955</v>
      </c>
    </row>
    <row r="1034">
      <c r="A1034" s="53" t="n">
        <v>46136</v>
      </c>
      <c r="B1034" s="15" t="n">
        <v>1880</v>
      </c>
    </row>
    <row r="1035">
      <c r="A1035" s="53" t="n">
        <v>46139</v>
      </c>
      <c r="B1035" s="15" t="n">
        <v>1840</v>
      </c>
    </row>
    <row r="1036">
      <c r="A1036" s="53" t="n">
        <v>46140</v>
      </c>
      <c r="B1036" s="15" t="n">
        <v>1800</v>
      </c>
    </row>
    <row r="1037">
      <c r="A1037" s="53" t="n">
        <v>46141</v>
      </c>
      <c r="B1037" s="15" t="n">
        <v>1790</v>
      </c>
    </row>
    <row r="1038">
      <c r="A1038" s="53" t="n">
        <v>46142</v>
      </c>
      <c r="B1038" s="15" t="n">
        <v>1775</v>
      </c>
    </row>
    <row r="1039">
      <c r="A1039" s="53" t="n">
        <v>46146</v>
      </c>
      <c r="B1039" s="15" t="n">
        <v>1790</v>
      </c>
    </row>
    <row r="1040">
      <c r="A1040" s="53" t="n">
        <v>46147</v>
      </c>
      <c r="B1040" s="15" t="n">
        <v>1820</v>
      </c>
    </row>
    <row r="1041">
      <c r="A1041" s="53" t="n">
        <v>46148</v>
      </c>
      <c r="B1041" s="15" t="n">
        <v>1815</v>
      </c>
    </row>
    <row r="1042">
      <c r="A1042" s="53" t="n">
        <v>46149</v>
      </c>
      <c r="B1042" s="15" t="n">
        <v>1990</v>
      </c>
    </row>
    <row r="1043">
      <c r="A1043" s="53" t="n">
        <v>46150</v>
      </c>
      <c r="B1043" s="15" t="n">
        <v>1910</v>
      </c>
    </row>
    <row r="1044">
      <c r="A1044" s="53" t="n">
        <v>46153</v>
      </c>
      <c r="B1044" s="15" t="n">
        <v>1835</v>
      </c>
    </row>
    <row r="1045">
      <c r="A1045" s="53" t="n">
        <v>46154</v>
      </c>
      <c r="B1045" s="15" t="n">
        <v>1855</v>
      </c>
    </row>
    <row r="1046">
      <c r="A1046" s="53" t="n">
        <v>46155</v>
      </c>
      <c r="B1046" s="15" t="n">
        <v>1830</v>
      </c>
    </row>
    <row r="1047">
      <c r="A1047" s="53" t="n">
        <v>46156</v>
      </c>
      <c r="B1047" s="15" t="n">
        <v>1830</v>
      </c>
    </row>
    <row r="1048">
      <c r="A1048" s="53" t="n">
        <v>46157</v>
      </c>
      <c r="B1048" s="15" t="n">
        <v>1830</v>
      </c>
    </row>
    <row r="1049">
      <c r="A1049" s="53" t="n">
        <v>46160</v>
      </c>
      <c r="B1049" s="15" t="n">
        <v>1700</v>
      </c>
    </row>
    <row r="1050">
      <c r="A1050" s="53" t="n">
        <v>46161</v>
      </c>
      <c r="B1050" s="15" t="n">
        <v>1770</v>
      </c>
    </row>
    <row r="1051">
      <c r="A1051" s="53" t="n">
        <v>46162</v>
      </c>
      <c r="B1051" s="15" t="n">
        <v>1790</v>
      </c>
    </row>
    <row r="1052">
      <c r="A1052" s="53" t="n">
        <v>46163</v>
      </c>
      <c r="B1052" s="15" t="n">
        <v>1800</v>
      </c>
    </row>
    <row r="1053">
      <c r="A1053" s="53" t="n">
        <v>46164</v>
      </c>
      <c r="B1053" s="15" t="n">
        <v>1775</v>
      </c>
    </row>
    <row r="1054">
      <c r="A1054" s="53" t="n">
        <v>46167</v>
      </c>
      <c r="B1054" s="15" t="n">
        <v>1935</v>
      </c>
    </row>
    <row r="1055">
      <c r="A1055" s="53" t="n">
        <v>46168</v>
      </c>
      <c r="B1055" s="15" t="n">
        <v>1930</v>
      </c>
    </row>
    <row r="1056">
      <c r="A1056" s="53" t="n">
        <v>46169</v>
      </c>
      <c r="B1056" s="15" t="n">
        <v>1930</v>
      </c>
    </row>
    <row r="1057">
      <c r="A1057" s="53" t="n">
        <v>46170</v>
      </c>
      <c r="B1057" s="15" t="n">
        <v>1930</v>
      </c>
    </row>
    <row r="1058">
      <c r="A1058" s="53" t="n">
        <v>46171</v>
      </c>
      <c r="B1058" s="15" t="n">
        <v>1980</v>
      </c>
    </row>
    <row r="1059">
      <c r="A1059" s="53" t="n">
        <v>46175</v>
      </c>
      <c r="B1059" s="15" t="n">
        <v>1945</v>
      </c>
    </row>
    <row r="1060">
      <c r="A1060" s="53" t="n">
        <v>46176</v>
      </c>
      <c r="B1060" s="15" t="n">
        <v>1885</v>
      </c>
    </row>
    <row r="1061">
      <c r="A1061" s="53" t="n">
        <v>46177</v>
      </c>
      <c r="B1061" s="15" t="n">
        <v>1890</v>
      </c>
    </row>
    <row r="1062">
      <c r="A1062" s="53" t="n">
        <v>46178</v>
      </c>
      <c r="B1062" s="15" t="n">
        <v>1765</v>
      </c>
    </row>
    <row r="1063">
      <c r="A1063" s="53" t="n">
        <v>46181</v>
      </c>
      <c r="B1063" s="15" t="n">
        <v>1615</v>
      </c>
    </row>
    <row r="1064">
      <c r="A1064" s="53" t="n">
        <v>46182</v>
      </c>
      <c r="B1064" s="15" t="n">
        <v>1840</v>
      </c>
    </row>
    <row r="1065">
      <c r="A1065" s="53" t="n">
        <v>46183</v>
      </c>
      <c r="B1065" s="15" t="n">
        <v>1850</v>
      </c>
    </row>
    <row r="1066">
      <c r="A1066" s="53" t="n">
        <v>46184</v>
      </c>
      <c r="B1066" s="15" t="n">
        <v>1795</v>
      </c>
    </row>
    <row r="1067">
      <c r="A1067" s="53" t="n">
        <v>46185</v>
      </c>
      <c r="B1067" s="15" t="n">
        <v>1870</v>
      </c>
    </row>
    <row r="1068">
      <c r="A1068" s="53" t="n">
        <v>46188</v>
      </c>
      <c r="B1068" s="15" t="n">
        <v>1875</v>
      </c>
    </row>
    <row r="1069">
      <c r="A1069" s="53" t="n">
        <v>46190</v>
      </c>
      <c r="B1069" s="15" t="n">
        <v>1850</v>
      </c>
    </row>
    <row r="1070">
      <c r="A1070" s="53" t="n">
        <v>46191</v>
      </c>
      <c r="B1070" s="15" t="n">
        <v>1800</v>
      </c>
    </row>
    <row r="1071">
      <c r="A1071" s="53" t="n">
        <v>46192</v>
      </c>
      <c r="B1071" s="15" t="n">
        <v>1835</v>
      </c>
    </row>
    <row r="1072">
      <c r="A1072" s="53" t="n">
        <v>46195</v>
      </c>
      <c r="B1072" s="15" t="n">
        <v>1770</v>
      </c>
    </row>
    <row r="1073">
      <c r="A1073" s="53" t="n">
        <v>46196</v>
      </c>
      <c r="B1073" s="15" t="n">
        <v>1770</v>
      </c>
    </row>
    <row r="1074">
      <c r="A1074" s="53" t="n">
        <v>46197</v>
      </c>
      <c r="B1074" s="15" t="n">
        <v>1700</v>
      </c>
    </row>
    <row r="1075">
      <c r="A1075" s="53" t="n">
        <v>46198</v>
      </c>
      <c r="B1075" s="15" t="n">
        <v>1785</v>
      </c>
    </row>
    <row r="1076">
      <c r="A1076" s="53" t="n">
        <v>46199</v>
      </c>
      <c r="B1076" s="15" t="n">
        <v>1730</v>
      </c>
    </row>
    <row r="1077">
      <c r="A1077" s="53" t="n">
        <v>46202</v>
      </c>
      <c r="B1077" s="15" t="n">
        <v>1705</v>
      </c>
    </row>
    <row r="1078">
      <c r="A1078" s="53" t="n">
        <v>46203</v>
      </c>
      <c r="B1078" s="15" t="n">
        <v>1705</v>
      </c>
    </row>
    <row r="1079">
      <c r="A1079" s="53" t="n">
        <v>46204</v>
      </c>
      <c r="B1079" s="15" t="n">
        <v>1665</v>
      </c>
    </row>
    <row r="1080">
      <c r="A1080" s="53" t="n">
        <v>46205</v>
      </c>
      <c r="B1080" s="15" t="n">
        <v>1690</v>
      </c>
    </row>
    <row r="1081">
      <c r="A1081" s="53" t="n">
        <v>46206</v>
      </c>
      <c r="B1081" s="15" t="n">
        <v>1750</v>
      </c>
    </row>
    <row r="1082">
      <c r="A1082" s="53" t="n">
        <v>46209</v>
      </c>
      <c r="B1082" s="15" t="n">
        <v>1835</v>
      </c>
    </row>
    <row r="1083">
      <c r="A1083" s="53" t="n">
        <v>46210</v>
      </c>
      <c r="B1083" s="15" t="n">
        <v>1800</v>
      </c>
    </row>
    <row r="1084">
      <c r="A1084" s="53" t="n">
        <v>46211</v>
      </c>
      <c r="B1084" s="15" t="n">
        <v>1740</v>
      </c>
    </row>
    <row r="1085">
      <c r="A1085" s="53" t="n">
        <v>46212</v>
      </c>
      <c r="B1085" s="15" t="n">
        <v>1735</v>
      </c>
    </row>
    <row r="1086">
      <c r="A1086" s="53" t="n">
        <v>46213</v>
      </c>
      <c r="B1086" s="15" t="n">
        <v>1730</v>
      </c>
    </row>
    <row r="1087">
      <c r="A1087" s="53" t="n">
        <v>46216</v>
      </c>
      <c r="B1087" s="15" t="n">
        <v>1750</v>
      </c>
    </row>
    <row r="1088">
      <c r="A1088" s="53" t="n">
        <v>46217</v>
      </c>
      <c r="B1088" s="15" t="n">
        <v>1735</v>
      </c>
    </row>
    <row r="1089">
      <c r="A1089" s="53" t="n">
        <v>46218</v>
      </c>
      <c r="B1089" s="15" t="n">
        <v>1730</v>
      </c>
    </row>
    <row r="1090">
      <c r="A1090" s="53" t="n">
        <v>46219</v>
      </c>
      <c r="B1090" s="15" t="n">
        <v>1740</v>
      </c>
    </row>
    <row r="1091">
      <c r="A1091" s="53" t="n">
        <v>46220</v>
      </c>
      <c r="B1091" s="15" t="n">
        <v>1910</v>
      </c>
    </row>
    <row r="1092">
      <c r="A1092" s="53" t="n">
        <v>46223</v>
      </c>
      <c r="B1092" s="15" t="n">
        <v>1865</v>
      </c>
    </row>
    <row r="1093">
      <c r="A1093" s="53" t="n">
        <v>46224</v>
      </c>
      <c r="B1093" s="15" t="n">
        <v>1900</v>
      </c>
    </row>
    <row r="1094">
      <c r="A1094" s="53" t="n">
        <v>46225</v>
      </c>
      <c r="B1094" s="15" t="n">
        <v>1900</v>
      </c>
    </row>
    <row r="1095">
      <c r="A1095" s="53" t="n">
        <v>46226</v>
      </c>
      <c r="B1095" s="15" t="n">
        <v>1900</v>
      </c>
    </row>
    <row r="1096">
      <c r="A1096" s="53" t="n">
        <v>46227</v>
      </c>
      <c r="B1096" s="15" t="n">
        <v>1845</v>
      </c>
    </row>
    <row r="1097">
      <c r="A1097" s="53" t="n">
        <v>46230</v>
      </c>
      <c r="B1097" s="15" t="n">
        <v>1845</v>
      </c>
    </row>
    <row r="1098">
      <c r="A1098" s="53" t="n">
        <v>46231</v>
      </c>
      <c r="B1098" s="15" t="n">
        <v>1790</v>
      </c>
    </row>
    <row r="1099">
      <c r="A1099" s="53" t="n">
        <v>46232</v>
      </c>
      <c r="B1099" s="15" t="n">
        <v>1760</v>
      </c>
    </row>
    <row r="1100">
      <c r="A1100" s="53" t="n">
        <v>46233</v>
      </c>
      <c r="B1100" s="15" t="n">
        <v>1785</v>
      </c>
    </row>
    <row r="1101">
      <c r="A1101" s="53" t="n">
        <v>46234</v>
      </c>
      <c r="B1101" s="15" t="n">
        <v>1820</v>
      </c>
    </row>
    <row r="1102">
      <c r="A1102" s="53" t="n">
        <v>46237</v>
      </c>
      <c r="B1102" s="15" t="n">
        <v>1795</v>
      </c>
    </row>
    <row r="1103">
      <c r="A1103" s="53" t="n">
        <v>46238</v>
      </c>
      <c r="B1103" s="15" t="n">
        <v>1795</v>
      </c>
    </row>
    <row r="1104">
      <c r="A1104" s="53" t="n">
        <v>46239</v>
      </c>
      <c r="B1104" s="15" t="n">
        <v>1800</v>
      </c>
    </row>
    <row r="1105">
      <c r="A1105" s="53" t="n">
        <v>46240</v>
      </c>
      <c r="B1105" s="15" t="n">
        <v>1795</v>
      </c>
    </row>
    <row r="1106">
      <c r="A1106" s="53" t="n">
        <v>46241</v>
      </c>
      <c r="B1106" s="15" t="n">
        <v>1820</v>
      </c>
    </row>
    <row r="1107">
      <c r="A1107" s="53" t="n">
        <v>46244</v>
      </c>
      <c r="B1107" s="15" t="n">
        <v>1795</v>
      </c>
    </row>
    <row r="1108">
      <c r="A1108" s="53" t="n">
        <v>46245</v>
      </c>
      <c r="B1108" s="15" t="n">
        <v>1770</v>
      </c>
    </row>
    <row r="1109">
      <c r="A1109" s="53" t="n">
        <v>46246</v>
      </c>
      <c r="B1109" s="15" t="n">
        <v>1795</v>
      </c>
    </row>
    <row r="1110">
      <c r="A1110" s="53" t="n">
        <v>46247</v>
      </c>
      <c r="B1110" s="15" t="n">
        <v>1775</v>
      </c>
    </row>
    <row r="1111">
      <c r="A1111" s="53" t="n">
        <v>46248</v>
      </c>
      <c r="B1111" s="15" t="n">
        <v>1790</v>
      </c>
    </row>
    <row r="1112">
      <c r="A1112" s="53" t="n">
        <v>46252</v>
      </c>
      <c r="B1112" s="15" t="n">
        <v>1790</v>
      </c>
    </row>
    <row r="1113">
      <c r="A1113" s="53" t="n">
        <v>46253</v>
      </c>
      <c r="B1113" s="15" t="n">
        <v>1760</v>
      </c>
    </row>
    <row r="1114">
      <c r="A1114" s="53" t="n">
        <v>46254</v>
      </c>
      <c r="B1114" s="15" t="n">
        <v>1770</v>
      </c>
    </row>
    <row r="1115">
      <c r="A1115" s="53" t="n">
        <v>46255</v>
      </c>
      <c r="B1115" s="15" t="n">
        <v>1805</v>
      </c>
    </row>
    <row r="1116">
      <c r="A1116" s="53" t="n">
        <v>46258</v>
      </c>
      <c r="B1116" s="15" t="n">
        <v>1805</v>
      </c>
    </row>
    <row r="1117">
      <c r="A1117" s="53" t="n">
        <v>46260</v>
      </c>
      <c r="B1117" s="15" t="n">
        <v>1780</v>
      </c>
    </row>
    <row r="1118">
      <c r="A1118" s="53" t="n">
        <v>46261</v>
      </c>
      <c r="B1118" s="15" t="n">
        <v>1785</v>
      </c>
    </row>
    <row r="1119">
      <c r="A1119" s="53" t="n">
        <v>46262</v>
      </c>
      <c r="B1119" s="15" t="n">
        <v>1785</v>
      </c>
    </row>
    <row r="1120">
      <c r="A1120" s="53" t="n">
        <v>46265</v>
      </c>
      <c r="B1120" s="15" t="n">
        <v>1775</v>
      </c>
    </row>
    <row r="1121">
      <c r="A1121" s="53" t="n">
        <v>46266</v>
      </c>
      <c r="B1121" s="15" t="n">
        <v>1790</v>
      </c>
    </row>
    <row r="1122">
      <c r="A1122" s="53" t="n">
        <v>46267</v>
      </c>
      <c r="B1122" s="15" t="n">
        <v>1800</v>
      </c>
    </row>
    <row r="1123">
      <c r="A1123" s="53" t="n">
        <v>46268</v>
      </c>
      <c r="B1123" s="15" t="n">
        <v>1800</v>
      </c>
    </row>
    <row r="1124">
      <c r="A1124" s="53" t="n">
        <v>46269</v>
      </c>
      <c r="B1124" s="15" t="n">
        <v>1790</v>
      </c>
    </row>
    <row r="1125">
      <c r="A1125" s="53" t="n">
        <v>46272</v>
      </c>
      <c r="B1125" s="15" t="n">
        <v>1770</v>
      </c>
    </row>
    <row r="1126">
      <c r="A1126" s="53" t="n">
        <v>46273</v>
      </c>
      <c r="B1126" s="15" t="n">
        <v>1775</v>
      </c>
    </row>
    <row r="1127">
      <c r="A1127" s="53" t="n">
        <v>46274</v>
      </c>
      <c r="B1127" s="15" t="n">
        <v>1775</v>
      </c>
    </row>
    <row r="1128">
      <c r="A1128" s="53" t="n">
        <v>46275</v>
      </c>
      <c r="B1128" s="15" t="n">
        <v>1755</v>
      </c>
    </row>
    <row r="1129">
      <c r="A1129" s="53" t="n">
        <v>46276</v>
      </c>
      <c r="B1129" s="15" t="n">
        <v>1720</v>
      </c>
    </row>
    <row r="1130">
      <c r="A1130" s="53" t="n">
        <v>46279</v>
      </c>
      <c r="B1130" s="15" t="n">
        <v>1730</v>
      </c>
    </row>
    <row r="1131">
      <c r="A1131" s="53" t="n">
        <v>46280</v>
      </c>
      <c r="B1131" s="15" t="n">
        <v>1710</v>
      </c>
    </row>
    <row r="1132">
      <c r="A1132" s="53" t="n">
        <v>46281</v>
      </c>
      <c r="B1132" s="15" t="n">
        <v>1665</v>
      </c>
    </row>
    <row r="1133">
      <c r="A1133" s="53" t="n">
        <v>46282</v>
      </c>
      <c r="B1133" s="15" t="n">
        <v>1645</v>
      </c>
    </row>
    <row r="1134">
      <c r="A1134" s="53" t="n">
        <v>46283</v>
      </c>
      <c r="B1134" s="15" t="n">
        <v>1610</v>
      </c>
    </row>
    <row r="1135">
      <c r="A1135" s="53" t="n">
        <v>46286</v>
      </c>
      <c r="B1135" s="15" t="n">
        <v>1580</v>
      </c>
    </row>
    <row r="1136">
      <c r="A1136" s="53" t="n">
        <v>46287</v>
      </c>
      <c r="B1136" s="15" t="n">
        <v>1590</v>
      </c>
    </row>
    <row r="1137">
      <c r="A1137" s="53" t="n">
        <v>46288</v>
      </c>
      <c r="B1137" s="15" t="n">
        <v>1615</v>
      </c>
    </row>
    <row r="1138">
      <c r="A1138" s="53" t="n">
        <v>46289</v>
      </c>
      <c r="B1138" s="15" t="n">
        <v>1560</v>
      </c>
    </row>
    <row r="1139">
      <c r="A1139" s="53" t="n">
        <v>46290</v>
      </c>
      <c r="B1139" s="15" t="n">
        <v>1510</v>
      </c>
    </row>
    <row r="1140">
      <c r="A1140" s="53" t="n">
        <v>46293</v>
      </c>
      <c r="B1140" s="15" t="n">
        <v>1510</v>
      </c>
    </row>
    <row r="1141">
      <c r="A1141" s="53" t="n">
        <v>46294</v>
      </c>
      <c r="B1141" s="15" t="n">
        <v>1515</v>
      </c>
    </row>
    <row r="1142">
      <c r="A1142" s="53" t="n">
        <v>46295</v>
      </c>
      <c r="B1142" s="15" t="n">
        <v>1420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80" customWidth="1" min="1" max="1"/>
    <col width="110" customWidth="1" min="2" max="2"/>
  </cols>
  <sheetData>
    <row r="1">
      <c r="A1" s="1" t="inlineStr">
        <is>
          <t>Sources</t>
        </is>
      </c>
    </row>
    <row r="2">
      <c r="A2" s="2" t="inlineStr">
        <is>
          <t>Accessed 1-Oct-2026.</t>
        </is>
      </c>
    </row>
    <row r="4">
      <c r="A4" s="3" t="inlineStr">
        <is>
          <t>Document</t>
        </is>
      </c>
      <c r="B4" s="4" t="inlineStr">
        <is>
          <t>Link</t>
        </is>
      </c>
    </row>
    <row r="5">
      <c r="A5" s="5" t="inlineStr">
        <is>
          <t>BSI Keterbukaan Informasi PMHMETD II, 30-Sep-2026</t>
        </is>
      </c>
      <c r="B5" s="54" t="inlineStr">
        <is>
          <t>https://ir.bankbsi.co.id/misc/GMS/2026/EGMS/Keterbukaan-Informasi-ID.pdf</t>
        </is>
      </c>
    </row>
    <row r="6">
      <c r="A6" s="5" t="inlineStr">
        <is>
          <t>BSI Pengumuman RUPSLB (EGM 6-Nov-2026), 30-Sep-2026</t>
        </is>
      </c>
      <c r="B6" s="54" t="inlineStr">
        <is>
          <t>https://ir.bankbsi.co.id/misc/GMS/2026/EGMS/Pengumuman-RUPSLB-ID.pdf</t>
        </is>
      </c>
    </row>
    <row r="7">
      <c r="A7" s="5" t="inlineStr">
        <is>
          <t>BSI Keterbukaan Informasi PMHMETD I, 2022</t>
        </is>
      </c>
      <c r="B7" s="54" t="inlineStr">
        <is>
          <t>https://ir.bankbsi.co.id/misc/GMS/2022/EGMS/Keterbukaan-Informasi-Final.pdf</t>
        </is>
      </c>
    </row>
    <row r="8">
      <c r="A8" s="5" t="inlineStr">
        <is>
          <t>KSEI holders above 1% (Feb-Aug 2026), via StockMap 1% data</t>
        </is>
      </c>
      <c r="B8" s="54" t="inlineStr">
        <is>
          <t>https://stockmap.jatevo.ai</t>
        </is>
      </c>
    </row>
    <row r="9">
      <c r="A9" s="5" t="inlineStr">
        <is>
          <t>StockMap bank models (BBCA, BBRI, BMRI, BBNI, BBTN, BDMN, BNGA, BNLI, MEGA, NISP)</t>
        </is>
      </c>
      <c r="B9" s="54" t="inlineStr">
        <is>
          <t>https://stockmap.jatevo.ai</t>
        </is>
      </c>
    </row>
    <row r="10">
      <c r="A10" s="5" t="inlineStr">
        <is>
          <t>Yahoo Finance chart API, BRIS.JK daily bars</t>
        </is>
      </c>
      <c r="B10" s="54" t="inlineStr">
        <is>
          <t>https://finance.yahoo.com/quote/BRIS.JK</t>
        </is>
      </c>
    </row>
    <row r="11">
      <c r="A11" s="5" t="inlineStr">
        <is>
          <t>Kontan: BSI cetak laba Rp4,16 triliun di semester I-2026</t>
        </is>
      </c>
      <c r="B11" s="54" t="inlineStr">
        <is>
          <t>https://keuangan.kontan.co.id/news/bsi-cetak-laba-rp-416-triliun-di-semester-i-2026-tumbuh-1108</t>
        </is>
      </c>
    </row>
    <row r="12">
      <c r="A12" s="5" t="inlineStr">
        <is>
          <t>KabarBursa: NIM BSI turun 31 bp di 2Q26 (forecasts 2026F-2028F)</t>
        </is>
      </c>
      <c r="B12" s="54" t="inlineStr">
        <is>
          <t>https://www.kabarbursa.com/market-hari-ini/nim-bsi-bris-turun-31-bp-di-2q26-bisnis-emas-tumbuh-81-persen</t>
        </is>
      </c>
    </row>
    <row r="13">
      <c r="A13" s="5" t="inlineStr">
        <is>
          <t>Katadata: BRIS bakal rights issue 6,8 miliar saham, free float 9,91%</t>
        </is>
      </c>
      <c r="B13" s="54" t="inlineStr">
        <is>
          <t>https://katadata.co.id/finansial/bursa/6abc969d33ca2/bsi-bris-bakal-right-issue-6-8-miliar-saham-bersiap-tambah-free-float</t>
        </is>
      </c>
    </row>
    <row r="14">
      <c r="A14" s="5" t="inlineStr">
        <is>
          <t>Investasiku: free float rule 2026 (Peraturan BEI I-A, Kep-00045/BEI/03-2026)</t>
        </is>
      </c>
      <c r="B14" s="54" t="inlineStr">
        <is>
          <t>https://www.investasiku.id/eduvest/saham/free-float-saham</t>
        </is>
      </c>
    </row>
    <row r="15">
      <c r="A15" s="5" t="inlineStr">
        <is>
          <t>Kontan: BBNI serap sebagian hak di rights issue BSI (2022)</t>
        </is>
      </c>
      <c r="B15" s="54" t="inlineStr">
        <is>
          <t>https://keuangan.kontan.co.id/news/bbni-serap-sebagian-hak-di-rights-issue-bsi-bris-dengan-nilai-rp-500-miliar</t>
        </is>
      </c>
    </row>
    <row r="16">
      <c r="A16" s="5" t="inlineStr">
        <is>
          <t>Bisnis.com: BMRI dan BBRI berkomitmen serap rights issue BRIS (2022)</t>
        </is>
      </c>
      <c r="B16" s="54" t="inlineStr">
        <is>
          <t>https://finansial.bisnis.com/read/20221004/90/1583974/bmri-dan-bbri-berkomitmen-serap-rights-issue-bris-bbni-gimana</t>
        </is>
      </c>
    </row>
    <row r="17">
      <c r="A17" s="5" t="inlineStr">
        <is>
          <t>IPOT News: BMRI tak lagi konsolidasikan BRIS (Jan-2026)</t>
        </is>
      </c>
      <c r="B17" s="54" t="inlineStr">
        <is>
          <t>https://www.indopremier.com/ipotnews/newsDetail.php?jdl=BMRI+tak+Lagi+Konsolidasikan+BRIS+Usai+Hak+Seri+A+Dwiwarna+Beralih+ke+Danantara&amp;news_id=212344&amp;group_news=IPOTNEWS</t>
        </is>
      </c>
    </row>
    <row r="18">
      <c r="A18" s="5" t="inlineStr">
        <is>
          <t>CNBC Indonesia: dividend plan after becoming a state-owned enterprise (Feb-2026)</t>
        </is>
      </c>
      <c r="B18" s="54" t="inlineStr">
        <is>
          <t>https://www.cnbcindonesia.com/market/20260202143530-17-707407/begini-rencana-dividen-bsi--bris--setelah-jadi-bumn</t>
        </is>
      </c>
    </row>
  </sheetData>
  <hyperlinks>
    <hyperlink xmlns:r="http://schemas.openxmlformats.org/officeDocument/2006/relationships" ref="B5" r:id="rId1"/>
    <hyperlink xmlns:r="http://schemas.openxmlformats.org/officeDocument/2006/relationships" ref="B6" r:id="rId2"/>
    <hyperlink xmlns:r="http://schemas.openxmlformats.org/officeDocument/2006/relationships" ref="B7" r:id="rId3"/>
    <hyperlink xmlns:r="http://schemas.openxmlformats.org/officeDocument/2006/relationships" ref="B8" r:id="rId4"/>
    <hyperlink xmlns:r="http://schemas.openxmlformats.org/officeDocument/2006/relationships" ref="B9" r:id="rId5"/>
    <hyperlink xmlns:r="http://schemas.openxmlformats.org/officeDocument/2006/relationships" ref="B10" r:id="rId6"/>
    <hyperlink xmlns:r="http://schemas.openxmlformats.org/officeDocument/2006/relationships" ref="B11" r:id="rId7"/>
    <hyperlink xmlns:r="http://schemas.openxmlformats.org/officeDocument/2006/relationships" ref="B12" r:id="rId8"/>
    <hyperlink xmlns:r="http://schemas.openxmlformats.org/officeDocument/2006/relationships" ref="B13" r:id="rId9"/>
    <hyperlink xmlns:r="http://schemas.openxmlformats.org/officeDocument/2006/relationships" ref="B14" r:id="rId10"/>
    <hyperlink xmlns:r="http://schemas.openxmlformats.org/officeDocument/2006/relationships" ref="B15" r:id="rId11"/>
    <hyperlink xmlns:r="http://schemas.openxmlformats.org/officeDocument/2006/relationships" ref="B16" r:id="rId12"/>
    <hyperlink xmlns:r="http://schemas.openxmlformats.org/officeDocument/2006/relationships" ref="B17" r:id="rId13"/>
    <hyperlink xmlns:r="http://schemas.openxmlformats.org/officeDocument/2006/relationships" ref="B18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2026-10-01T02:15:42Z</dcterms:created>
  <dcterms:modified xmlns:dcterms="http://purl.org/dc/terms/" xmlns:xsi="http://www.w3.org/2001/XMLSchema-instance" xsi:type="dcterms:W3CDTF">2026-10-01T02:15:42Z</dcterms:modified>
</cp:coreProperties>
</file>